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4.xml" ContentType="application/vnd.openxmlformats-officedocument.drawing+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7.xml" ContentType="application/vnd.openxmlformats-officedocument.drawingml.chart+xml"/>
  <Override PartName="/xl/drawings/drawing18.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drawings/drawing19.xml" ContentType="application/vnd.openxmlformats-officedocument.drawingml.chartshapes+xml"/>
  <Override PartName="/xl/charts/chart50.xml" ContentType="application/vnd.openxmlformats-officedocument.drawingml.chart+xml"/>
  <Override PartName="/xl/drawings/drawing2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5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6.xml" ContentType="application/vnd.openxmlformats-officedocument.drawing+xml"/>
  <Override PartName="/xl/charts/chart6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29.xml" ContentType="application/vnd.openxmlformats-officedocument.drawing+xml"/>
  <Override PartName="/xl/charts/chart7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3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Questa_cartella_di_lavoro"/>
  <mc:AlternateContent xmlns:mc="http://schemas.openxmlformats.org/markup-compatibility/2006">
    <mc:Choice Requires="x15">
      <x15ac:absPath xmlns:x15ac="http://schemas.microsoft.com/office/spreadsheetml/2010/11/ac" url="C:\Users\ginob\Dropbox\Archivio\Analisi-Valutazione-Consulenza\"/>
    </mc:Choice>
  </mc:AlternateContent>
  <xr:revisionPtr revIDLastSave="0" documentId="8_{99226E58-D04A-4D0B-A0C2-49DDD7B1361C}" xr6:coauthVersionLast="47" xr6:coauthVersionMax="47" xr10:uidLastSave="{00000000-0000-0000-0000-000000000000}"/>
  <workbookProtection workbookAlgorithmName="SHA-512" workbookHashValue="PeXmxHZ4oykhDssXjGEy8F/ViS5KaE/f3m2qQ/6R6QgKtWCByVVAqUCcfxmBOSREXFBPyUT3Yc4pHlKqmXb0Cw==" workbookSaltValue="jV4gUiaUalw7p7UzqAsMpg==" workbookSpinCount="100000" lockStructure="1"/>
  <bookViews>
    <workbookView xWindow="-110" yWindow="-110" windowWidth="19420" windowHeight="11500" tabRatio="791" firstSheet="15" activeTab="15" xr2:uid="{CE6B00CD-F414-4746-9D2A-0013F16B5A95}"/>
  </bookViews>
  <sheets>
    <sheet name="Dati per grafico" sheetId="1" state="hidden" r:id="rId1"/>
    <sheet name="Calcolo LPP partner" sheetId="2" state="hidden" r:id="rId2"/>
    <sheet name="Calcolo LPP Cliente" sheetId="3" state="hidden" r:id="rId3"/>
    <sheet name="scala44 partner" sheetId="4" state="hidden" r:id="rId4"/>
    <sheet name="scala44" sheetId="5" state="hidden" r:id="rId5"/>
    <sheet name="Calcolo simulazione LPP Partner" sheetId="40" state="hidden" r:id="rId6"/>
    <sheet name="Calcolo simulazione LPP Cliente" sheetId="39" state="hidden" r:id="rId7"/>
    <sheet name="Sigle per Analisi" sheetId="41" state="hidden" r:id="rId8"/>
    <sheet name="Dati per grafico Figlio 3" sheetId="32" state="hidden" r:id="rId9"/>
    <sheet name="Dati per grafico Figlio 2" sheetId="33" state="hidden" r:id="rId10"/>
    <sheet name="Dati per grafico Figlio 1" sheetId="30" state="hidden" r:id="rId11"/>
    <sheet name="Dati per grafico Partner" sheetId="28" state="hidden" r:id="rId12"/>
    <sheet name="Dati per grafico Capofamiglia" sheetId="27" state="hidden" r:id="rId13"/>
    <sheet name="Parametri generali" sheetId="44" state="hidden" r:id="rId14"/>
    <sheet name="KMU-Dati per grafico" sheetId="67" state="hidden" r:id="rId15"/>
    <sheet name="ANALYSIS" sheetId="21" r:id="rId16"/>
    <sheet name="PRIV-VALID." sheetId="6" r:id="rId17"/>
    <sheet name="Dati Partner" sheetId="7" state="hidden" r:id="rId18"/>
    <sheet name="CM-Neo" sheetId="47" state="hidden" r:id="rId19"/>
    <sheet name="calcoli ClienteD" sheetId="50" state="hidden" r:id="rId20"/>
    <sheet name="calcoli Cliente" sheetId="15" state="hidden" r:id="rId21"/>
    <sheet name="Calcoli Partner" sheetId="16" state="hidden" r:id="rId22"/>
    <sheet name="CLI-PREV-1" sheetId="54" r:id="rId23"/>
    <sheet name="PAR-PREV-1" sheetId="61" r:id="rId24"/>
    <sheet name="CLI-PREV-2" sheetId="55" r:id="rId25"/>
    <sheet name="PAR-PREV-2" sheetId="60" r:id="rId26"/>
    <sheet name="T-K-M 1" sheetId="56" state="hidden" r:id="rId27"/>
    <sheet name="T-K-M 2" sheetId="57" state="hidden" r:id="rId28"/>
    <sheet name="ALT 1" sheetId="58" state="hidden" r:id="rId29"/>
    <sheet name="ALT 2" sheetId="59" state="hidden" r:id="rId30"/>
    <sheet name="RENDITE CLIENTE" sheetId="10" state="hidden" r:id="rId31"/>
    <sheet name="RENDITE PARTNER" sheetId="13" state="hidden" r:id="rId32"/>
    <sheet name="DECESSO CLIENTE" sheetId="14" state="hidden" r:id="rId33"/>
    <sheet name="DECESSO PARTNER" sheetId="11" state="hidden" r:id="rId34"/>
    <sheet name="PROFIL" sheetId="62" r:id="rId35"/>
    <sheet name="COMPARIS" sheetId="65" r:id="rId36"/>
    <sheet name="PENS." sheetId="8" r:id="rId37"/>
    <sheet name="OPP3" sheetId="9" r:id="rId38"/>
    <sheet name="OPP3 PARTNER" sheetId="12" state="hidden" r:id="rId39"/>
    <sheet name="FUTURE-FINANZ." sheetId="20" r:id="rId40"/>
    <sheet name="AFFITTO CON RISCATTO" sheetId="22" state="hidden" r:id="rId41"/>
    <sheet name="FIN-PREV" sheetId="63" r:id="rId42"/>
    <sheet name="FINANZ." sheetId="38" r:id="rId43"/>
    <sheet name="FIGLI" sheetId="42" r:id="rId44"/>
    <sheet name="CM.TOT" sheetId="37" r:id="rId45"/>
    <sheet name="COSE-PATR" sheetId="64" r:id="rId46"/>
    <sheet name="KMU-DATA" sheetId="66" r:id="rId47"/>
    <sheet name="Traduzioni" sheetId="52" state="hidden" r:id="rId48"/>
    <sheet name="KMU-PROFIL" sheetId="68" r:id="rId49"/>
    <sheet name="Calcolo risparmio figli negli a" sheetId="43" state="hidden" r:id="rId50"/>
    <sheet name="KINDER" sheetId="48" state="hidden" r:id="rId51"/>
    <sheet name="BEDARF" sheetId="49" state="hidden" r:id="rId52"/>
    <sheet name="RENDITE KUNDE" sheetId="51" state="hidden" r:id="rId53"/>
    <sheet name="FINANZIABILITÀ INTEGRATA" sheetId="23" state="hidden" r:id="rId54"/>
    <sheet name="Sviluppo reddito" sheetId="18" state="hidden" r:id="rId55"/>
    <sheet name="Sviluppo risparmio" sheetId="17" state="hidden" r:id="rId56"/>
    <sheet name="Sviluppo oneri" sheetId="19" state="hidden" r:id="rId57"/>
  </sheets>
  <externalReferences>
    <externalReference r:id="rId58"/>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6" l="1"/>
  <c r="B11" i="15"/>
  <c r="B9" i="16"/>
  <c r="B9" i="15"/>
  <c r="C13" i="63"/>
  <c r="G35" i="63"/>
  <c r="C7" i="44"/>
  <c r="C115" i="21"/>
  <c r="D115" i="21"/>
  <c r="E115" i="21"/>
  <c r="F115" i="21"/>
  <c r="B115" i="21"/>
  <c r="C117" i="21"/>
  <c r="D117" i="21"/>
  <c r="E117" i="21"/>
  <c r="F117" i="21"/>
  <c r="B117" i="21"/>
  <c r="C37" i="38"/>
  <c r="C36" i="38"/>
  <c r="C34" i="38"/>
  <c r="B81" i="6"/>
  <c r="B80" i="6"/>
  <c r="D19" i="44"/>
  <c r="D17" i="44"/>
  <c r="D16" i="44"/>
  <c r="D15" i="44"/>
  <c r="C51" i="21"/>
  <c r="B51" i="21"/>
  <c r="I156" i="61"/>
  <c r="I160" i="54"/>
  <c r="A8" i="66"/>
  <c r="A7" i="66"/>
  <c r="A6" i="66"/>
  <c r="I43" i="67"/>
  <c r="G112" i="66"/>
  <c r="G113" i="66" s="1"/>
  <c r="D7" i="67"/>
  <c r="D62" i="67" s="1"/>
  <c r="P62" i="67" s="1"/>
  <c r="D14" i="67"/>
  <c r="D55" i="67" s="1"/>
  <c r="P55" i="67" s="1"/>
  <c r="D15" i="67"/>
  <c r="D54" i="67" s="1"/>
  <c r="D17" i="67"/>
  <c r="D19" i="67"/>
  <c r="D22" i="67"/>
  <c r="D32" i="67"/>
  <c r="D37" i="67" s="1"/>
  <c r="P37" i="67" s="1"/>
  <c r="D33" i="67"/>
  <c r="D36" i="67" s="1"/>
  <c r="P36" i="67" s="1"/>
  <c r="C6" i="67"/>
  <c r="C63" i="67" s="1"/>
  <c r="K63" i="67" s="1"/>
  <c r="C7" i="67"/>
  <c r="C62" i="67" s="1"/>
  <c r="K62" i="67" s="1"/>
  <c r="C8" i="67"/>
  <c r="C61" i="67" s="1"/>
  <c r="K61" i="67" s="1"/>
  <c r="C10" i="67"/>
  <c r="C59" i="67" s="1"/>
  <c r="K59" i="67" s="1"/>
  <c r="C11" i="67"/>
  <c r="C58" i="67" s="1"/>
  <c r="K58" i="67" s="1"/>
  <c r="C12" i="67"/>
  <c r="C57" i="67" s="1"/>
  <c r="K57" i="67" s="1"/>
  <c r="C13" i="67"/>
  <c r="C56" i="67" s="1"/>
  <c r="K56" i="67" s="1"/>
  <c r="C14" i="67"/>
  <c r="C55" i="67" s="1"/>
  <c r="K55" i="67" s="1"/>
  <c r="C15" i="67"/>
  <c r="C54" i="67" s="1"/>
  <c r="K54" i="67" s="1"/>
  <c r="C16" i="67"/>
  <c r="C53" i="67" s="1"/>
  <c r="K53" i="67" s="1"/>
  <c r="C17" i="67"/>
  <c r="C52" i="67" s="1"/>
  <c r="K52" i="67" s="1"/>
  <c r="C18" i="67"/>
  <c r="C51" i="67" s="1"/>
  <c r="K51" i="67" s="1"/>
  <c r="C19" i="67"/>
  <c r="C21" i="67"/>
  <c r="C48" i="67" s="1"/>
  <c r="K48" i="67" s="1"/>
  <c r="C23" i="67"/>
  <c r="C27" i="67"/>
  <c r="C42" i="67" s="1"/>
  <c r="K42" i="67" s="1"/>
  <c r="C28" i="67"/>
  <c r="C41" i="67" s="1"/>
  <c r="K41" i="67" s="1"/>
  <c r="C29" i="67"/>
  <c r="C30" i="67"/>
  <c r="C31" i="67"/>
  <c r="C38" i="67" s="1"/>
  <c r="K38" i="67" s="1"/>
  <c r="C32" i="67"/>
  <c r="C33" i="67"/>
  <c r="C36" i="67" s="1"/>
  <c r="K36" i="67" s="1"/>
  <c r="C112" i="66"/>
  <c r="C113" i="66" s="1"/>
  <c r="G25" i="67" s="1"/>
  <c r="C110" i="66"/>
  <c r="G22" i="67" s="1"/>
  <c r="G47" i="67" s="1"/>
  <c r="C108" i="66"/>
  <c r="H108" i="66" s="1"/>
  <c r="D20" i="67" s="1"/>
  <c r="D49" i="67" s="1"/>
  <c r="P49" i="67" s="1"/>
  <c r="C96" i="66"/>
  <c r="C97" i="66" s="1"/>
  <c r="H97" i="66" s="1"/>
  <c r="D9" i="67" s="1"/>
  <c r="C93" i="66"/>
  <c r="G5" i="67" s="1"/>
  <c r="G110" i="66"/>
  <c r="C22" i="67" s="1"/>
  <c r="G108" i="66"/>
  <c r="C20" i="67" s="1"/>
  <c r="G97" i="66"/>
  <c r="C9" i="67" s="1"/>
  <c r="G93" i="66"/>
  <c r="C5" i="67" s="1"/>
  <c r="H92" i="66"/>
  <c r="D4" i="67" s="1"/>
  <c r="D65" i="67" s="1"/>
  <c r="P65" i="67" s="1"/>
  <c r="H94" i="66"/>
  <c r="D6" i="67" s="1"/>
  <c r="H111" i="66"/>
  <c r="D23" i="67" s="1"/>
  <c r="G23" i="67"/>
  <c r="G27" i="67"/>
  <c r="G42" i="67" s="1"/>
  <c r="G28" i="67"/>
  <c r="G41" i="67" s="1"/>
  <c r="G29" i="67"/>
  <c r="G30" i="67"/>
  <c r="G39" i="67" s="1"/>
  <c r="G31" i="67"/>
  <c r="G38" i="67" s="1"/>
  <c r="G32" i="67"/>
  <c r="G37" i="67" s="1"/>
  <c r="G33" i="67"/>
  <c r="G36" i="67" s="1"/>
  <c r="G13" i="67"/>
  <c r="G56" i="67" s="1"/>
  <c r="G14" i="67"/>
  <c r="G15" i="67"/>
  <c r="G54" i="67" s="1"/>
  <c r="G16" i="67"/>
  <c r="G17" i="67"/>
  <c r="G18" i="67"/>
  <c r="G19" i="67"/>
  <c r="G49" i="67"/>
  <c r="G21" i="67"/>
  <c r="G48" i="67" s="1"/>
  <c r="G11" i="67"/>
  <c r="G12" i="67"/>
  <c r="G7" i="67"/>
  <c r="G62" i="67" s="1"/>
  <c r="G10" i="67"/>
  <c r="G6" i="67"/>
  <c r="I35" i="67"/>
  <c r="J122" i="66"/>
  <c r="I122" i="66"/>
  <c r="E56" i="68"/>
  <c r="E2" i="68"/>
  <c r="E2" i="66"/>
  <c r="E87" i="66"/>
  <c r="G4" i="67"/>
  <c r="G65" i="67" s="1"/>
  <c r="C4" i="67"/>
  <c r="C65" i="67" s="1"/>
  <c r="K65" i="67" s="1"/>
  <c r="F48" i="67"/>
  <c r="F39" i="67"/>
  <c r="F38" i="67"/>
  <c r="B35" i="67"/>
  <c r="J35" i="67" s="1"/>
  <c r="O35" i="67" s="1"/>
  <c r="A35" i="67"/>
  <c r="N35" i="67" s="1"/>
  <c r="H119" i="66"/>
  <c r="D31" i="67" s="1"/>
  <c r="H118" i="66"/>
  <c r="H117" i="66"/>
  <c r="D29" i="67" s="1"/>
  <c r="H116" i="66"/>
  <c r="D28" i="67" s="1"/>
  <c r="H115" i="66"/>
  <c r="D27" i="67" s="1"/>
  <c r="H109" i="66"/>
  <c r="D21" i="67" s="1"/>
  <c r="D48" i="67" s="1"/>
  <c r="H106" i="66"/>
  <c r="D18" i="67" s="1"/>
  <c r="H104" i="66"/>
  <c r="D16" i="67" s="1"/>
  <c r="H101" i="66"/>
  <c r="D13" i="67" s="1"/>
  <c r="H99" i="66"/>
  <c r="D11" i="67" s="1"/>
  <c r="H98" i="66"/>
  <c r="D10" i="67" s="1"/>
  <c r="H100" i="66"/>
  <c r="D12" i="67" s="1"/>
  <c r="D54" i="9"/>
  <c r="E60" i="9"/>
  <c r="G9" i="65"/>
  <c r="F9" i="65"/>
  <c r="E9" i="65"/>
  <c r="D9" i="65"/>
  <c r="B8" i="65"/>
  <c r="G18" i="65" s="1"/>
  <c r="C2" i="44"/>
  <c r="B2" i="44"/>
  <c r="C7" i="64"/>
  <c r="E7" i="64"/>
  <c r="F7" i="64"/>
  <c r="G7" i="64"/>
  <c r="C8" i="64"/>
  <c r="E8" i="64"/>
  <c r="C9" i="64"/>
  <c r="E9" i="64"/>
  <c r="C10" i="64"/>
  <c r="E10" i="64"/>
  <c r="C11" i="64"/>
  <c r="E11" i="64"/>
  <c r="F11" i="64"/>
  <c r="G11" i="64"/>
  <c r="C12" i="64"/>
  <c r="E12" i="64"/>
  <c r="F12" i="64"/>
  <c r="G12" i="64"/>
  <c r="C13" i="64"/>
  <c r="E13" i="64"/>
  <c r="F13" i="64"/>
  <c r="G13" i="64"/>
  <c r="C14" i="64"/>
  <c r="E14" i="64"/>
  <c r="C15" i="64"/>
  <c r="E15" i="64"/>
  <c r="C16" i="64"/>
  <c r="E16" i="64"/>
  <c r="C17" i="64"/>
  <c r="E17" i="64"/>
  <c r="F17" i="64"/>
  <c r="G17" i="64"/>
  <c r="C18" i="64"/>
  <c r="E18" i="64"/>
  <c r="F18" i="64"/>
  <c r="G18" i="64"/>
  <c r="C19" i="64"/>
  <c r="E19" i="64"/>
  <c r="F19" i="64"/>
  <c r="G19" i="64"/>
  <c r="C20" i="64"/>
  <c r="E20" i="64"/>
  <c r="F20" i="64"/>
  <c r="G20" i="64"/>
  <c r="C21" i="64"/>
  <c r="E21" i="64"/>
  <c r="F21" i="64"/>
  <c r="G21" i="64"/>
  <c r="C22" i="64"/>
  <c r="E22" i="64"/>
  <c r="C23" i="64"/>
  <c r="E23" i="64"/>
  <c r="C24" i="64"/>
  <c r="E24" i="64"/>
  <c r="C25" i="64"/>
  <c r="E25" i="64"/>
  <c r="C26" i="64"/>
  <c r="E26" i="64"/>
  <c r="F26" i="64"/>
  <c r="G26" i="64"/>
  <c r="C27" i="64"/>
  <c r="E27" i="64"/>
  <c r="C28" i="64"/>
  <c r="E28" i="64"/>
  <c r="C29" i="64"/>
  <c r="E29" i="64"/>
  <c r="C30" i="64"/>
  <c r="E30" i="64"/>
  <c r="E15" i="63"/>
  <c r="A15" i="63"/>
  <c r="C75" i="63"/>
  <c r="C76" i="63" s="1"/>
  <c r="G11" i="63"/>
  <c r="G10" i="63"/>
  <c r="G39" i="63"/>
  <c r="G50" i="63" s="1"/>
  <c r="C39" i="63"/>
  <c r="C62" i="63" s="1"/>
  <c r="C29" i="63"/>
  <c r="C24" i="63"/>
  <c r="D24" i="63" s="1"/>
  <c r="C26" i="63"/>
  <c r="C27" i="63"/>
  <c r="C28" i="63"/>
  <c r="C9" i="63"/>
  <c r="B6" i="63"/>
  <c r="D5" i="63"/>
  <c r="B251" i="37"/>
  <c r="B202" i="37"/>
  <c r="B153" i="37"/>
  <c r="D248" i="37"/>
  <c r="B252" i="37"/>
  <c r="B253" i="37"/>
  <c r="D253" i="37"/>
  <c r="B255" i="37"/>
  <c r="B256" i="37"/>
  <c r="B257" i="37"/>
  <c r="B258" i="37"/>
  <c r="B259" i="37"/>
  <c r="B260" i="37"/>
  <c r="B261" i="37"/>
  <c r="B262" i="37"/>
  <c r="B263" i="37"/>
  <c r="B264" i="37"/>
  <c r="B265" i="37"/>
  <c r="B266" i="37"/>
  <c r="D199" i="37"/>
  <c r="B203" i="37"/>
  <c r="B204" i="37"/>
  <c r="D204" i="37"/>
  <c r="B206" i="37"/>
  <c r="B207" i="37"/>
  <c r="B208" i="37"/>
  <c r="B209" i="37"/>
  <c r="B210" i="37"/>
  <c r="B211" i="37"/>
  <c r="B212" i="37"/>
  <c r="B213" i="37"/>
  <c r="B214" i="37"/>
  <c r="B215" i="37"/>
  <c r="B216" i="37"/>
  <c r="B217" i="37"/>
  <c r="D150" i="37"/>
  <c r="B154" i="37"/>
  <c r="B155" i="37"/>
  <c r="D155" i="37"/>
  <c r="B157" i="37"/>
  <c r="B158" i="37"/>
  <c r="B159" i="37"/>
  <c r="B160" i="37"/>
  <c r="B161" i="37"/>
  <c r="B162" i="37"/>
  <c r="B163" i="37"/>
  <c r="B164" i="37"/>
  <c r="B165" i="37"/>
  <c r="B166" i="37"/>
  <c r="B167" i="37"/>
  <c r="B168" i="37"/>
  <c r="D101" i="37"/>
  <c r="B104" i="37"/>
  <c r="B105" i="37"/>
  <c r="B106" i="37"/>
  <c r="D106" i="37"/>
  <c r="B108" i="37"/>
  <c r="B109" i="37"/>
  <c r="B110" i="37"/>
  <c r="B111" i="37"/>
  <c r="B112" i="37"/>
  <c r="D112" i="37"/>
  <c r="B113" i="37"/>
  <c r="D113" i="37"/>
  <c r="B114" i="37"/>
  <c r="D114" i="37"/>
  <c r="B115" i="37"/>
  <c r="B116" i="37"/>
  <c r="B117" i="37"/>
  <c r="B118" i="37"/>
  <c r="B119" i="37"/>
  <c r="D54" i="37"/>
  <c r="B57" i="37"/>
  <c r="B58" i="37"/>
  <c r="B59" i="37"/>
  <c r="D59" i="37"/>
  <c r="B61" i="37"/>
  <c r="D61" i="37"/>
  <c r="B62" i="37"/>
  <c r="D62" i="37"/>
  <c r="B63" i="37"/>
  <c r="D63" i="37"/>
  <c r="B64" i="37"/>
  <c r="D64" i="37"/>
  <c r="B65" i="37"/>
  <c r="D65" i="37"/>
  <c r="B66" i="37"/>
  <c r="D66" i="37"/>
  <c r="B67" i="37"/>
  <c r="D67" i="37"/>
  <c r="B68" i="37"/>
  <c r="D68" i="37"/>
  <c r="B69" i="37"/>
  <c r="D69" i="37"/>
  <c r="B70" i="37"/>
  <c r="D70" i="37"/>
  <c r="B71" i="37"/>
  <c r="D71" i="37"/>
  <c r="B72" i="37"/>
  <c r="D72" i="37"/>
  <c r="E18" i="67" l="1"/>
  <c r="E6" i="67"/>
  <c r="E63" i="67" s="1"/>
  <c r="L63" i="67" s="1"/>
  <c r="E19" i="67"/>
  <c r="E50" i="67" s="1"/>
  <c r="L50" i="67" s="1"/>
  <c r="E17" i="67"/>
  <c r="E14" i="67"/>
  <c r="E12" i="67"/>
  <c r="E57" i="67" s="1"/>
  <c r="L57" i="67" s="1"/>
  <c r="G52" i="67"/>
  <c r="E11" i="67"/>
  <c r="E58" i="67" s="1"/>
  <c r="L58" i="67" s="1"/>
  <c r="E23" i="67"/>
  <c r="E46" i="67" s="1"/>
  <c r="L46" i="67" s="1"/>
  <c r="E29" i="67"/>
  <c r="E40" i="67" s="1"/>
  <c r="L40" i="67" s="1"/>
  <c r="E16" i="67"/>
  <c r="E53" i="67" s="1"/>
  <c r="L53" i="67" s="1"/>
  <c r="G24" i="67"/>
  <c r="G45" i="67" s="1"/>
  <c r="E21" i="67"/>
  <c r="E48" i="67" s="1"/>
  <c r="G51" i="67"/>
  <c r="E10" i="67"/>
  <c r="E59" i="67" s="1"/>
  <c r="L59" i="67" s="1"/>
  <c r="Q36" i="67"/>
  <c r="E27" i="67"/>
  <c r="E42" i="67" s="1"/>
  <c r="L42" i="67" s="1"/>
  <c r="E30" i="67"/>
  <c r="E39" i="67" s="1"/>
  <c r="L39" i="67" s="1"/>
  <c r="G44" i="67"/>
  <c r="C49" i="67"/>
  <c r="K49" i="67" s="1"/>
  <c r="E20" i="67"/>
  <c r="E49" i="67" s="1"/>
  <c r="L49" i="67" s="1"/>
  <c r="G114" i="66"/>
  <c r="C26" i="67" s="1"/>
  <c r="C43" i="67" s="1"/>
  <c r="K43" i="67" s="1"/>
  <c r="C25" i="67"/>
  <c r="C44" i="67" s="1"/>
  <c r="K44" i="67" s="1"/>
  <c r="Q37" i="67"/>
  <c r="C47" i="67"/>
  <c r="K47" i="67" s="1"/>
  <c r="E22" i="67"/>
  <c r="E47" i="67" s="1"/>
  <c r="L47" i="67" s="1"/>
  <c r="G55" i="67"/>
  <c r="D30" i="67"/>
  <c r="D39" i="67" s="1"/>
  <c r="P39" i="67" s="1"/>
  <c r="Q39" i="67" s="1"/>
  <c r="E33" i="67"/>
  <c r="E36" i="67" s="1"/>
  <c r="L36" i="67" s="1"/>
  <c r="D38" i="67"/>
  <c r="P38" i="67" s="1"/>
  <c r="Q38" i="67" s="1"/>
  <c r="G59" i="67"/>
  <c r="E32" i="67"/>
  <c r="E37" i="67" s="1"/>
  <c r="L37" i="67" s="1"/>
  <c r="E7" i="67"/>
  <c r="E62" i="67" s="1"/>
  <c r="L62" i="67" s="1"/>
  <c r="C24" i="67"/>
  <c r="C45" i="67" s="1"/>
  <c r="K45" i="67" s="1"/>
  <c r="E31" i="67"/>
  <c r="E38" i="67" s="1"/>
  <c r="L38" i="67" s="1"/>
  <c r="C114" i="66"/>
  <c r="G26" i="67" s="1"/>
  <c r="E28" i="67"/>
  <c r="E41" i="67" s="1"/>
  <c r="L41" i="67" s="1"/>
  <c r="E15" i="67"/>
  <c r="E54" i="67" s="1"/>
  <c r="D51" i="67"/>
  <c r="P51" i="67" s="1"/>
  <c r="H112" i="66"/>
  <c r="E13" i="67"/>
  <c r="E56" i="67" s="1"/>
  <c r="L56" i="67" s="1"/>
  <c r="E5" i="67"/>
  <c r="H93" i="66"/>
  <c r="D5" i="67" s="1"/>
  <c r="D64" i="67" s="1"/>
  <c r="P64" i="67" s="1"/>
  <c r="G9" i="67"/>
  <c r="E9" i="67" s="1"/>
  <c r="E60" i="67" s="1"/>
  <c r="L60" i="67" s="1"/>
  <c r="D58" i="67"/>
  <c r="P58" i="67" s="1"/>
  <c r="G8" i="67"/>
  <c r="G40" i="67"/>
  <c r="P48" i="67"/>
  <c r="Q48" i="67" s="1"/>
  <c r="D40" i="67"/>
  <c r="P40" i="67" s="1"/>
  <c r="D57" i="67"/>
  <c r="P57" i="67" s="1"/>
  <c r="D46" i="67"/>
  <c r="P46" i="67" s="1"/>
  <c r="D59" i="67"/>
  <c r="P59" i="67" s="1"/>
  <c r="C37" i="67"/>
  <c r="K37" i="67" s="1"/>
  <c r="D47" i="67"/>
  <c r="P47" i="67" s="1"/>
  <c r="Q47" i="67" s="1"/>
  <c r="E52" i="67"/>
  <c r="L52" i="67" s="1"/>
  <c r="C50" i="67"/>
  <c r="K50" i="67" s="1"/>
  <c r="D63" i="67"/>
  <c r="P63" i="67" s="1"/>
  <c r="C60" i="67"/>
  <c r="K60" i="67" s="1"/>
  <c r="E51" i="67"/>
  <c r="L51" i="67" s="1"/>
  <c r="D52" i="67"/>
  <c r="P52" i="67" s="1"/>
  <c r="D50" i="67"/>
  <c r="P50" i="67" s="1"/>
  <c r="D42" i="67"/>
  <c r="P42" i="67" s="1"/>
  <c r="Q42" i="67" s="1"/>
  <c r="D41" i="67"/>
  <c r="P41" i="67" s="1"/>
  <c r="Q41" i="67" s="1"/>
  <c r="D56" i="67"/>
  <c r="P56" i="67" s="1"/>
  <c r="Q56" i="67" s="1"/>
  <c r="D53" i="67"/>
  <c r="P53" i="67" s="1"/>
  <c r="P54" i="67"/>
  <c r="Q54" i="67" s="1"/>
  <c r="C40" i="67"/>
  <c r="K40" i="67" s="1"/>
  <c r="H96" i="66"/>
  <c r="C64" i="67"/>
  <c r="K64" i="67" s="1"/>
  <c r="C46" i="67"/>
  <c r="K46" i="67" s="1"/>
  <c r="I123" i="66"/>
  <c r="G58" i="67"/>
  <c r="Q62" i="67"/>
  <c r="Q65" i="67"/>
  <c r="E4" i="67"/>
  <c r="E65" i="67" s="1"/>
  <c r="L65" i="67" s="1"/>
  <c r="C39" i="67"/>
  <c r="K39" i="67" s="1"/>
  <c r="G57" i="67"/>
  <c r="G46" i="67"/>
  <c r="G53" i="67"/>
  <c r="G50" i="67"/>
  <c r="G63" i="67"/>
  <c r="D22" i="64"/>
  <c r="F18" i="65"/>
  <c r="D18" i="65"/>
  <c r="E18" i="65"/>
  <c r="D19" i="65"/>
  <c r="D29" i="64"/>
  <c r="D23" i="64"/>
  <c r="D30" i="64"/>
  <c r="D27" i="64"/>
  <c r="D24" i="64"/>
  <c r="D21" i="64"/>
  <c r="D17" i="64"/>
  <c r="D28" i="64"/>
  <c r="D25" i="64"/>
  <c r="D19" i="64"/>
  <c r="D7" i="64"/>
  <c r="D26" i="64"/>
  <c r="D15" i="64"/>
  <c r="D12" i="64"/>
  <c r="D20" i="64"/>
  <c r="D18" i="64"/>
  <c r="D8" i="64"/>
  <c r="D14" i="64"/>
  <c r="D16" i="64"/>
  <c r="D13" i="64"/>
  <c r="D11" i="64"/>
  <c r="D10" i="64"/>
  <c r="D9" i="64"/>
  <c r="C25" i="63"/>
  <c r="C50" i="63"/>
  <c r="C74" i="63"/>
  <c r="C77" i="63" s="1"/>
  <c r="C36" i="63" s="1"/>
  <c r="C41" i="63"/>
  <c r="B2" i="2"/>
  <c r="B3" i="2"/>
  <c r="B4" i="2"/>
  <c r="A5" i="2"/>
  <c r="A3" i="2"/>
  <c r="A4" i="2"/>
  <c r="A1" i="2"/>
  <c r="A2" i="2"/>
  <c r="B4" i="3"/>
  <c r="B3" i="3"/>
  <c r="B2" i="3"/>
  <c r="B8" i="2"/>
  <c r="B9" i="2"/>
  <c r="B10" i="2"/>
  <c r="B11" i="2"/>
  <c r="B7" i="3"/>
  <c r="B7" i="2" s="1"/>
  <c r="B6" i="2"/>
  <c r="B5" i="2"/>
  <c r="B1" i="2"/>
  <c r="B5" i="3"/>
  <c r="B1" i="3"/>
  <c r="C40" i="21"/>
  <c r="B40" i="21"/>
  <c r="B16" i="6"/>
  <c r="B15" i="6"/>
  <c r="D4" i="37"/>
  <c r="D4" i="42"/>
  <c r="D4" i="9"/>
  <c r="D5" i="38"/>
  <c r="F503" i="52"/>
  <c r="E503" i="52"/>
  <c r="D503" i="52"/>
  <c r="C503" i="52"/>
  <c r="B503" i="52"/>
  <c r="A503" i="52"/>
  <c r="F502" i="52"/>
  <c r="E502" i="52"/>
  <c r="C502" i="52"/>
  <c r="D502" i="52"/>
  <c r="B502" i="52"/>
  <c r="A502" i="52"/>
  <c r="A497" i="52"/>
  <c r="F500" i="52"/>
  <c r="E500" i="52"/>
  <c r="D500" i="52"/>
  <c r="C500" i="52"/>
  <c r="B500" i="52"/>
  <c r="A500" i="52"/>
  <c r="F499" i="52"/>
  <c r="E499" i="52"/>
  <c r="D499" i="52"/>
  <c r="C499" i="52"/>
  <c r="B499" i="52"/>
  <c r="A499" i="52"/>
  <c r="B93" i="6"/>
  <c r="F498" i="52"/>
  <c r="E498" i="52"/>
  <c r="D498" i="52"/>
  <c r="C498" i="52"/>
  <c r="B498" i="52"/>
  <c r="A498" i="52"/>
  <c r="F497" i="52"/>
  <c r="E497" i="52"/>
  <c r="D497" i="52"/>
  <c r="C497" i="52"/>
  <c r="B497" i="52"/>
  <c r="Q52" i="67" l="1"/>
  <c r="Q51" i="67"/>
  <c r="E24" i="67"/>
  <c r="E45" i="67" s="1"/>
  <c r="L45" i="67" s="1"/>
  <c r="Q59" i="67"/>
  <c r="E26" i="67"/>
  <c r="E43" i="67" s="1"/>
  <c r="L43" i="67" s="1"/>
  <c r="G122" i="66"/>
  <c r="G60" i="67"/>
  <c r="G61" i="67"/>
  <c r="E8" i="67"/>
  <c r="E61" i="67" s="1"/>
  <c r="L61" i="67" s="1"/>
  <c r="D8" i="67"/>
  <c r="D61" i="67" s="1"/>
  <c r="P61" i="67" s="1"/>
  <c r="C122" i="66"/>
  <c r="Q40" i="67"/>
  <c r="G43" i="67"/>
  <c r="E25" i="67"/>
  <c r="E44" i="67" s="1"/>
  <c r="L44" i="67" s="1"/>
  <c r="H113" i="66"/>
  <c r="D24" i="67"/>
  <c r="D45" i="67" s="1"/>
  <c r="P45" i="67" s="1"/>
  <c r="Q45" i="67" s="1"/>
  <c r="Q58" i="67"/>
  <c r="Q63" i="67"/>
  <c r="D60" i="67"/>
  <c r="P60" i="67" s="1"/>
  <c r="L48" i="67"/>
  <c r="Q46" i="67"/>
  <c r="Q57" i="67"/>
  <c r="Q50" i="67"/>
  <c r="G64" i="67"/>
  <c r="Q64" i="67" s="1"/>
  <c r="E64" i="67"/>
  <c r="L64" i="67" s="1"/>
  <c r="Q53" i="67"/>
  <c r="L54" i="67"/>
  <c r="E55" i="67"/>
  <c r="G9" i="63"/>
  <c r="G36" i="63"/>
  <c r="G55" i="63"/>
  <c r="C10" i="63"/>
  <c r="C11" i="63"/>
  <c r="C30" i="63"/>
  <c r="B71" i="6"/>
  <c r="B4" i="6"/>
  <c r="B1" i="13"/>
  <c r="B1" i="10"/>
  <c r="B68" i="16"/>
  <c r="B77" i="15"/>
  <c r="A34" i="21"/>
  <c r="C1" i="52"/>
  <c r="G864" i="52" s="1"/>
  <c r="A34" i="38" s="1"/>
  <c r="B4" i="51"/>
  <c r="B2" i="51" a="1"/>
  <c r="C2" i="51" s="1"/>
  <c r="B54" i="50"/>
  <c r="B55" i="50" s="1"/>
  <c r="B4" i="50"/>
  <c r="E10" i="48"/>
  <c r="D10" i="48"/>
  <c r="C10" i="48"/>
  <c r="G844" i="52" l="1"/>
  <c r="A81" i="66" s="1"/>
  <c r="G863" i="52"/>
  <c r="A31" i="66" s="1"/>
  <c r="G843" i="52"/>
  <c r="A80" i="66" s="1"/>
  <c r="G831" i="52"/>
  <c r="A21" i="66" s="1"/>
  <c r="G842" i="52"/>
  <c r="A79" i="66" s="1"/>
  <c r="G855" i="52"/>
  <c r="A70" i="66" s="1"/>
  <c r="G841" i="52"/>
  <c r="A78" i="66" s="1"/>
  <c r="G854" i="52"/>
  <c r="A69" i="66" s="1"/>
  <c r="G840" i="52"/>
  <c r="A77" i="66" s="1"/>
  <c r="G853" i="52"/>
  <c r="A68" i="66" s="1"/>
  <c r="G839" i="52"/>
  <c r="A76" i="66" s="1"/>
  <c r="G852" i="52"/>
  <c r="A67" i="66" s="1"/>
  <c r="G838" i="52"/>
  <c r="G861" i="52"/>
  <c r="A15" i="66" s="1"/>
  <c r="G851" i="52"/>
  <c r="A66" i="66" s="1"/>
  <c r="G837" i="52"/>
  <c r="A75" i="66" s="1"/>
  <c r="G860" i="52"/>
  <c r="A35" i="66" s="1"/>
  <c r="G850" i="52"/>
  <c r="A65" i="66" s="1"/>
  <c r="G836" i="52"/>
  <c r="A74" i="66" s="1"/>
  <c r="G859" i="52"/>
  <c r="A34" i="66" s="1"/>
  <c r="G849" i="52"/>
  <c r="A64" i="66" s="1"/>
  <c r="G835" i="52"/>
  <c r="A73" i="66" s="1"/>
  <c r="G858" i="52"/>
  <c r="A33" i="66" s="1"/>
  <c r="G848" i="52"/>
  <c r="G846" i="52"/>
  <c r="G834" i="52"/>
  <c r="A71" i="66" s="1"/>
  <c r="G857" i="52"/>
  <c r="A32" i="66" s="1"/>
  <c r="G845" i="52"/>
  <c r="A82" i="66" s="1"/>
  <c r="G832" i="52"/>
  <c r="G830" i="52"/>
  <c r="A125" i="66" s="1"/>
  <c r="G829" i="52"/>
  <c r="A62" i="66" s="1"/>
  <c r="G826" i="52"/>
  <c r="Q61" i="67"/>
  <c r="Q60" i="67"/>
  <c r="G813" i="52"/>
  <c r="G825" i="52"/>
  <c r="G814" i="52"/>
  <c r="G815" i="52"/>
  <c r="G818" i="52"/>
  <c r="E10" i="66" s="1"/>
  <c r="G821" i="52"/>
  <c r="A43" i="66" s="1"/>
  <c r="G823" i="52"/>
  <c r="G819" i="52"/>
  <c r="G822" i="52"/>
  <c r="E43" i="66" s="1"/>
  <c r="G817" i="52"/>
  <c r="A10" i="66" s="1"/>
  <c r="G812" i="52"/>
  <c r="D25" i="67"/>
  <c r="D44" i="67" s="1"/>
  <c r="P44" i="67" s="1"/>
  <c r="Q44" i="67" s="1"/>
  <c r="H114" i="66"/>
  <c r="D26" i="67" s="1"/>
  <c r="D43" i="67" s="1"/>
  <c r="P43" i="67" s="1"/>
  <c r="Q43" i="67" s="1"/>
  <c r="G788" i="52"/>
  <c r="A45" i="66" s="1"/>
  <c r="G800" i="52"/>
  <c r="A57" i="66" s="1"/>
  <c r="G765" i="52"/>
  <c r="G809" i="52"/>
  <c r="G789" i="52"/>
  <c r="A46" i="66" s="1"/>
  <c r="G801" i="52"/>
  <c r="A58" i="66" s="1"/>
  <c r="G766" i="52"/>
  <c r="A16" i="66" s="1"/>
  <c r="G797" i="52"/>
  <c r="A54" i="66" s="1"/>
  <c r="G790" i="52"/>
  <c r="A47" i="66" s="1"/>
  <c r="G802" i="52"/>
  <c r="A59" i="66" s="1"/>
  <c r="G767" i="52"/>
  <c r="A17" i="66" s="1"/>
  <c r="G791" i="52"/>
  <c r="A48" i="66" s="1"/>
  <c r="G803" i="52"/>
  <c r="A60" i="66" s="1"/>
  <c r="G768" i="52"/>
  <c r="A18" i="66" s="1"/>
  <c r="G792" i="52"/>
  <c r="A49" i="66" s="1"/>
  <c r="G804" i="52"/>
  <c r="A40" i="66" s="1"/>
  <c r="G769" i="52"/>
  <c r="A19" i="66" s="1"/>
  <c r="G793" i="52"/>
  <c r="A50" i="66" s="1"/>
  <c r="G805" i="52"/>
  <c r="A41" i="66" s="1"/>
  <c r="G770" i="52"/>
  <c r="A20" i="66" s="1"/>
  <c r="G794" i="52"/>
  <c r="A51" i="66" s="1"/>
  <c r="G806" i="52"/>
  <c r="G771" i="52"/>
  <c r="A22" i="66" s="1"/>
  <c r="G795" i="52"/>
  <c r="A52" i="66" s="1"/>
  <c r="G807" i="52"/>
  <c r="G772" i="52"/>
  <c r="A23" i="66" s="1"/>
  <c r="G796" i="52"/>
  <c r="A53" i="66" s="1"/>
  <c r="G808" i="52"/>
  <c r="G798" i="52"/>
  <c r="A55" i="66" s="1"/>
  <c r="G810" i="52"/>
  <c r="G799" i="52"/>
  <c r="A56" i="66" s="1"/>
  <c r="G811" i="52"/>
  <c r="G787" i="52"/>
  <c r="A44" i="66" s="1"/>
  <c r="G756" i="52"/>
  <c r="G785" i="52"/>
  <c r="A38" i="66" s="1"/>
  <c r="G757" i="52"/>
  <c r="G773" i="52"/>
  <c r="A24" i="66" s="1"/>
  <c r="G786" i="52"/>
  <c r="A42" i="66" s="1"/>
  <c r="G758" i="52"/>
  <c r="G774" i="52"/>
  <c r="A25" i="66" s="1"/>
  <c r="G759" i="52"/>
  <c r="G775" i="52"/>
  <c r="A26" i="66" s="1"/>
  <c r="G761" i="52"/>
  <c r="A11" i="66" s="1"/>
  <c r="G776" i="52"/>
  <c r="G762" i="52"/>
  <c r="A12" i="66" s="1"/>
  <c r="G777" i="52"/>
  <c r="A28" i="66" s="1"/>
  <c r="G763" i="52"/>
  <c r="A13" i="66" s="1"/>
  <c r="G778" i="52"/>
  <c r="F28" i="66" s="1"/>
  <c r="G764" i="52"/>
  <c r="A14" i="66" s="1"/>
  <c r="G780" i="52"/>
  <c r="A29" i="66" s="1"/>
  <c r="G781" i="52"/>
  <c r="F29" i="66" s="1"/>
  <c r="G782" i="52"/>
  <c r="A30" i="66" s="1"/>
  <c r="G783" i="52"/>
  <c r="F30" i="66" s="1"/>
  <c r="G784" i="52"/>
  <c r="A37" i="66" s="1"/>
  <c r="G754" i="52"/>
  <c r="E3" i="67" s="1"/>
  <c r="E35" i="67" s="1"/>
  <c r="L35" i="67" s="1"/>
  <c r="G755" i="52"/>
  <c r="Q35" i="67" s="1"/>
  <c r="G747" i="52"/>
  <c r="G748" i="52"/>
  <c r="G749" i="52"/>
  <c r="G753" i="52"/>
  <c r="G750" i="52"/>
  <c r="G751" i="52"/>
  <c r="A27" i="66" s="1"/>
  <c r="G752" i="52"/>
  <c r="G295" i="52"/>
  <c r="E3" i="68" s="1"/>
  <c r="G746" i="52"/>
  <c r="A123" i="66" s="1"/>
  <c r="G734" i="52"/>
  <c r="B111" i="66" s="1"/>
  <c r="B23" i="67" s="1"/>
  <c r="B46" i="67" s="1"/>
  <c r="J46" i="67" s="1"/>
  <c r="O46" i="67" s="1"/>
  <c r="G722" i="52"/>
  <c r="B99" i="66" s="1"/>
  <c r="B11" i="67" s="1"/>
  <c r="B58" i="67" s="1"/>
  <c r="J58" i="67" s="1"/>
  <c r="O58" i="67" s="1"/>
  <c r="G710" i="52"/>
  <c r="I91" i="66" s="1"/>
  <c r="G711" i="52"/>
  <c r="J91" i="66" s="1"/>
  <c r="G745" i="52"/>
  <c r="A122" i="66" s="1"/>
  <c r="G733" i="52"/>
  <c r="B110" i="66" s="1"/>
  <c r="B22" i="67" s="1"/>
  <c r="B47" i="67" s="1"/>
  <c r="J47" i="67" s="1"/>
  <c r="O47" i="67" s="1"/>
  <c r="G721" i="52"/>
  <c r="B98" i="66" s="1"/>
  <c r="B10" i="67" s="1"/>
  <c r="B59" i="67" s="1"/>
  <c r="J59" i="67" s="1"/>
  <c r="O59" i="67" s="1"/>
  <c r="G709" i="52"/>
  <c r="H91" i="66" s="1"/>
  <c r="D3" i="67" s="1"/>
  <c r="D35" i="67" s="1"/>
  <c r="P35" i="67" s="1"/>
  <c r="G744" i="52"/>
  <c r="B121" i="66" s="1"/>
  <c r="B33" i="67" s="1"/>
  <c r="B36" i="67" s="1"/>
  <c r="J36" i="67" s="1"/>
  <c r="O36" i="67" s="1"/>
  <c r="G732" i="52"/>
  <c r="B109" i="66" s="1"/>
  <c r="B21" i="67" s="1"/>
  <c r="B48" i="67" s="1"/>
  <c r="J48" i="67" s="1"/>
  <c r="O48" i="67" s="1"/>
  <c r="G720" i="52"/>
  <c r="B97" i="66" s="1"/>
  <c r="B9" i="67" s="1"/>
  <c r="B60" i="67" s="1"/>
  <c r="J60" i="67" s="1"/>
  <c r="O60" i="67" s="1"/>
  <c r="G708" i="52"/>
  <c r="G91" i="66" s="1"/>
  <c r="C3" i="67" s="1"/>
  <c r="C35" i="67" s="1"/>
  <c r="K35" i="67" s="1"/>
  <c r="G743" i="52"/>
  <c r="B120" i="66" s="1"/>
  <c r="B32" i="67" s="1"/>
  <c r="B37" i="67" s="1"/>
  <c r="J37" i="67" s="1"/>
  <c r="O37" i="67" s="1"/>
  <c r="G731" i="52"/>
  <c r="B108" i="66" s="1"/>
  <c r="B20" i="67" s="1"/>
  <c r="B49" i="67" s="1"/>
  <c r="J49" i="67" s="1"/>
  <c r="O49" i="67" s="1"/>
  <c r="G719" i="52"/>
  <c r="B96" i="66" s="1"/>
  <c r="B8" i="67" s="1"/>
  <c r="B61" i="67" s="1"/>
  <c r="J61" i="67" s="1"/>
  <c r="O61" i="67" s="1"/>
  <c r="G707" i="52"/>
  <c r="F91" i="66" s="1"/>
  <c r="G742" i="52"/>
  <c r="B119" i="66" s="1"/>
  <c r="B31" i="67" s="1"/>
  <c r="B38" i="67" s="1"/>
  <c r="J38" i="67" s="1"/>
  <c r="O38" i="67" s="1"/>
  <c r="G730" i="52"/>
  <c r="B107" i="66" s="1"/>
  <c r="B19" i="67" s="1"/>
  <c r="B50" i="67" s="1"/>
  <c r="J50" i="67" s="1"/>
  <c r="O50" i="67" s="1"/>
  <c r="G718" i="52"/>
  <c r="B95" i="66" s="1"/>
  <c r="B7" i="67" s="1"/>
  <c r="B62" i="67" s="1"/>
  <c r="J62" i="67" s="1"/>
  <c r="O62" i="67" s="1"/>
  <c r="G706" i="52"/>
  <c r="E91" i="66" s="1"/>
  <c r="G741" i="52"/>
  <c r="B118" i="66" s="1"/>
  <c r="B30" i="67" s="1"/>
  <c r="B39" i="67" s="1"/>
  <c r="J39" i="67" s="1"/>
  <c r="O39" i="67" s="1"/>
  <c r="G729" i="52"/>
  <c r="B106" i="66" s="1"/>
  <c r="B18" i="67" s="1"/>
  <c r="B51" i="67" s="1"/>
  <c r="J51" i="67" s="1"/>
  <c r="O51" i="67" s="1"/>
  <c r="G717" i="52"/>
  <c r="B94" i="66" s="1"/>
  <c r="B6" i="67" s="1"/>
  <c r="B63" i="67" s="1"/>
  <c r="J63" i="67" s="1"/>
  <c r="O63" i="67" s="1"/>
  <c r="G705" i="52"/>
  <c r="D91" i="66" s="1"/>
  <c r="G740" i="52"/>
  <c r="B117" i="66" s="1"/>
  <c r="B29" i="67" s="1"/>
  <c r="B40" i="67" s="1"/>
  <c r="J40" i="67" s="1"/>
  <c r="O40" i="67" s="1"/>
  <c r="G728" i="52"/>
  <c r="B105" i="66" s="1"/>
  <c r="B17" i="67" s="1"/>
  <c r="B52" i="67" s="1"/>
  <c r="J52" i="67" s="1"/>
  <c r="O52" i="67" s="1"/>
  <c r="G716" i="52"/>
  <c r="B93" i="66" s="1"/>
  <c r="B5" i="67" s="1"/>
  <c r="B64" i="67" s="1"/>
  <c r="J64" i="67" s="1"/>
  <c r="O64" i="67" s="1"/>
  <c r="G704" i="52"/>
  <c r="C91" i="66" s="1"/>
  <c r="G3" i="67" s="1"/>
  <c r="G35" i="67" s="1"/>
  <c r="G739" i="52"/>
  <c r="B116" i="66" s="1"/>
  <c r="B28" i="67" s="1"/>
  <c r="B41" i="67" s="1"/>
  <c r="J41" i="67" s="1"/>
  <c r="O41" i="67" s="1"/>
  <c r="G727" i="52"/>
  <c r="B104" i="66" s="1"/>
  <c r="B16" i="67" s="1"/>
  <c r="B53" i="67" s="1"/>
  <c r="J53" i="67" s="1"/>
  <c r="O53" i="67" s="1"/>
  <c r="G715" i="52"/>
  <c r="B92" i="66" s="1"/>
  <c r="B4" i="67" s="1"/>
  <c r="B65" i="67" s="1"/>
  <c r="J65" i="67" s="1"/>
  <c r="O65" i="67" s="1"/>
  <c r="G703" i="52"/>
  <c r="B91" i="66" s="1"/>
  <c r="G738" i="52"/>
  <c r="B115" i="66" s="1"/>
  <c r="B27" i="67" s="1"/>
  <c r="B42" i="67" s="1"/>
  <c r="J42" i="67" s="1"/>
  <c r="O42" i="67" s="1"/>
  <c r="G726" i="52"/>
  <c r="B103" i="66" s="1"/>
  <c r="B15" i="67" s="1"/>
  <c r="B54" i="67" s="1"/>
  <c r="J54" i="67" s="1"/>
  <c r="O54" i="67" s="1"/>
  <c r="G714" i="52"/>
  <c r="G702" i="52"/>
  <c r="A91" i="66" s="1"/>
  <c r="G737" i="52"/>
  <c r="B114" i="66" s="1"/>
  <c r="B26" i="67" s="1"/>
  <c r="B43" i="67" s="1"/>
  <c r="J43" i="67" s="1"/>
  <c r="O43" i="67" s="1"/>
  <c r="G725" i="52"/>
  <c r="B102" i="66" s="1"/>
  <c r="B14" i="67" s="1"/>
  <c r="B55" i="67" s="1"/>
  <c r="J55" i="67" s="1"/>
  <c r="O55" i="67" s="1"/>
  <c r="G713" i="52"/>
  <c r="G701" i="52"/>
  <c r="G723" i="52"/>
  <c r="B100" i="66" s="1"/>
  <c r="B12" i="67" s="1"/>
  <c r="B57" i="67" s="1"/>
  <c r="J57" i="67" s="1"/>
  <c r="O57" i="67" s="1"/>
  <c r="G736" i="52"/>
  <c r="B113" i="66" s="1"/>
  <c r="B25" i="67" s="1"/>
  <c r="B44" i="67" s="1"/>
  <c r="J44" i="67" s="1"/>
  <c r="O44" i="67" s="1"/>
  <c r="G724" i="52"/>
  <c r="B101" i="66" s="1"/>
  <c r="B13" i="67" s="1"/>
  <c r="B56" i="67" s="1"/>
  <c r="J56" i="67" s="1"/>
  <c r="O56" i="67" s="1"/>
  <c r="G712" i="52"/>
  <c r="G735" i="52"/>
  <c r="B112" i="66" s="1"/>
  <c r="B24" i="67" s="1"/>
  <c r="B45" i="67" s="1"/>
  <c r="J45" i="67" s="1"/>
  <c r="O45" i="67" s="1"/>
  <c r="G697" i="52"/>
  <c r="G683" i="52"/>
  <c r="G673" i="52"/>
  <c r="B17" i="65" s="1"/>
  <c r="G668" i="52"/>
  <c r="G618" i="52"/>
  <c r="G630" i="52"/>
  <c r="A20" i="65" s="1"/>
  <c r="G642" i="52"/>
  <c r="G696" i="52"/>
  <c r="G682" i="52"/>
  <c r="G672" i="52"/>
  <c r="G667" i="52"/>
  <c r="G619" i="52"/>
  <c r="G631" i="52"/>
  <c r="B9" i="65" s="1"/>
  <c r="G643" i="52"/>
  <c r="G695" i="52"/>
  <c r="G681" i="52"/>
  <c r="G671" i="52"/>
  <c r="G666" i="52"/>
  <c r="G620" i="52"/>
  <c r="A8" i="65" s="1"/>
  <c r="G632" i="52"/>
  <c r="B10" i="65" s="1"/>
  <c r="G644" i="52"/>
  <c r="G641" i="52"/>
  <c r="G694" i="52"/>
  <c r="G680" i="52"/>
  <c r="G665" i="52"/>
  <c r="G621" i="52"/>
  <c r="C8" i="65" s="1"/>
  <c r="G633" i="52"/>
  <c r="B11" i="65" s="1"/>
  <c r="G645" i="52"/>
  <c r="G626" i="52"/>
  <c r="A12" i="65" s="1"/>
  <c r="G617" i="52"/>
  <c r="G693" i="52"/>
  <c r="G679" i="52"/>
  <c r="G663" i="52"/>
  <c r="B108" i="6" s="1"/>
  <c r="G622" i="52"/>
  <c r="G634" i="52"/>
  <c r="B12" i="65" s="1"/>
  <c r="G646" i="52"/>
  <c r="G675" i="52"/>
  <c r="G664" i="52"/>
  <c r="B107" i="6" s="1"/>
  <c r="G685" i="52"/>
  <c r="G678" i="52"/>
  <c r="G623" i="52"/>
  <c r="A9" i="65" s="1"/>
  <c r="G635" i="52"/>
  <c r="B15" i="65" s="1"/>
  <c r="G638" i="52"/>
  <c r="B18" i="65" s="1"/>
  <c r="G629" i="52"/>
  <c r="A19" i="65" s="1"/>
  <c r="G686" i="52"/>
  <c r="G677" i="52"/>
  <c r="G624" i="52"/>
  <c r="A10" i="65" s="1"/>
  <c r="G636" i="52"/>
  <c r="B16" i="65" s="1"/>
  <c r="G687" i="52"/>
  <c r="G676" i="52"/>
  <c r="G625" i="52"/>
  <c r="A11" i="65" s="1"/>
  <c r="G637" i="52"/>
  <c r="G688" i="52"/>
  <c r="G689" i="52"/>
  <c r="G627" i="52"/>
  <c r="A16" i="65" s="1"/>
  <c r="G639" i="52"/>
  <c r="B19" i="65" s="1"/>
  <c r="G690" i="52"/>
  <c r="G616" i="52"/>
  <c r="G628" i="52"/>
  <c r="A18" i="65" s="1"/>
  <c r="G640" i="52"/>
  <c r="C9" i="65" s="1"/>
  <c r="G698" i="52"/>
  <c r="G684" i="52"/>
  <c r="G613" i="52"/>
  <c r="B177" i="21" s="1"/>
  <c r="G614" i="52"/>
  <c r="G615" i="52"/>
  <c r="G575" i="52"/>
  <c r="A135" i="21" s="1"/>
  <c r="G587" i="52"/>
  <c r="B158" i="21" s="1"/>
  <c r="G599" i="52"/>
  <c r="B170" i="21" s="1"/>
  <c r="G569" i="52"/>
  <c r="A74" i="21" s="1"/>
  <c r="G584" i="52"/>
  <c r="A157" i="21" s="1"/>
  <c r="G576" i="52"/>
  <c r="G588" i="52"/>
  <c r="B159" i="21" s="1"/>
  <c r="G600" i="52"/>
  <c r="G568" i="52"/>
  <c r="A73" i="21" s="1"/>
  <c r="G608" i="52"/>
  <c r="B179" i="21" s="1"/>
  <c r="G577" i="52"/>
  <c r="G589" i="52"/>
  <c r="B160" i="21" s="1"/>
  <c r="G601" i="52"/>
  <c r="G567" i="52"/>
  <c r="A72" i="21" s="1"/>
  <c r="G609" i="52"/>
  <c r="B180" i="21" s="1"/>
  <c r="G578" i="52"/>
  <c r="C157" i="21" s="1"/>
  <c r="G590" i="52"/>
  <c r="B161" i="21" s="1"/>
  <c r="G602" i="52"/>
  <c r="B173" i="21" s="1"/>
  <c r="G597" i="52"/>
  <c r="G610" i="52"/>
  <c r="B181" i="21" s="1"/>
  <c r="G579" i="52"/>
  <c r="D157" i="21" s="1"/>
  <c r="G591" i="52"/>
  <c r="B164" i="21" s="1"/>
  <c r="G603" i="52"/>
  <c r="B174" i="21" s="1"/>
  <c r="G598" i="52"/>
  <c r="G611" i="52"/>
  <c r="B162" i="21" s="1"/>
  <c r="G580" i="52"/>
  <c r="E157" i="21" s="1"/>
  <c r="G592" i="52"/>
  <c r="B165" i="21" s="1"/>
  <c r="G604" i="52"/>
  <c r="B175" i="21" s="1"/>
  <c r="G612" i="52"/>
  <c r="B163" i="21" s="1"/>
  <c r="G581" i="52"/>
  <c r="F157" i="21" s="1"/>
  <c r="G593" i="52"/>
  <c r="B166" i="21" s="1"/>
  <c r="G605" i="52"/>
  <c r="B176" i="21" s="1"/>
  <c r="G572" i="52"/>
  <c r="D23" i="21" s="1"/>
  <c r="G585" i="52"/>
  <c r="B157" i="21" s="1"/>
  <c r="G570" i="52"/>
  <c r="G582" i="52"/>
  <c r="G157" i="21" s="1"/>
  <c r="G594" i="52"/>
  <c r="B167" i="21" s="1"/>
  <c r="G606" i="52"/>
  <c r="G566" i="52"/>
  <c r="A71" i="21" s="1"/>
  <c r="G574" i="52"/>
  <c r="G571" i="52"/>
  <c r="G583" i="52"/>
  <c r="H157" i="21" s="1"/>
  <c r="G595" i="52"/>
  <c r="B168" i="21" s="1"/>
  <c r="G607" i="52"/>
  <c r="B178" i="21" s="1"/>
  <c r="G596" i="52"/>
  <c r="G573" i="52"/>
  <c r="D25" i="21" s="1"/>
  <c r="G586" i="52"/>
  <c r="G558" i="52"/>
  <c r="G559" i="52"/>
  <c r="G565" i="52"/>
  <c r="A70" i="21" s="1"/>
  <c r="G560" i="52"/>
  <c r="G561" i="52"/>
  <c r="A85" i="21" s="1"/>
  <c r="G562" i="52"/>
  <c r="A86" i="21" s="1"/>
  <c r="G563" i="52"/>
  <c r="A87" i="21" s="1"/>
  <c r="G564" i="52"/>
  <c r="G557" i="52"/>
  <c r="C80" i="63"/>
  <c r="G552" i="52"/>
  <c r="G553" i="52"/>
  <c r="G548" i="52"/>
  <c r="G549" i="52"/>
  <c r="D36" i="21" s="1"/>
  <c r="G550" i="52"/>
  <c r="D41" i="21" s="1"/>
  <c r="G551" i="52"/>
  <c r="D43" i="21" s="1"/>
  <c r="C67" i="63"/>
  <c r="C55" i="63"/>
  <c r="G34" i="63"/>
  <c r="C34" i="63"/>
  <c r="G531" i="52"/>
  <c r="G543" i="52"/>
  <c r="D10" i="21" s="1"/>
  <c r="G532" i="52"/>
  <c r="E8" i="63" s="1"/>
  <c r="G544" i="52"/>
  <c r="D12" i="21" s="1"/>
  <c r="G521" i="52"/>
  <c r="G533" i="52"/>
  <c r="G545" i="52"/>
  <c r="D13" i="21" s="1"/>
  <c r="G538" i="52"/>
  <c r="G528" i="52"/>
  <c r="G522" i="52"/>
  <c r="G534" i="52"/>
  <c r="G546" i="52"/>
  <c r="D14" i="21" s="1"/>
  <c r="G535" i="52"/>
  <c r="A13" i="63" s="1"/>
  <c r="G523" i="52"/>
  <c r="G547" i="52"/>
  <c r="D15" i="21" s="1"/>
  <c r="G554" i="52"/>
  <c r="G540" i="52"/>
  <c r="E46" i="63" s="1"/>
  <c r="G524" i="52"/>
  <c r="G536" i="52"/>
  <c r="A9" i="63" s="1"/>
  <c r="G555" i="52"/>
  <c r="G526" i="52"/>
  <c r="G541" i="52"/>
  <c r="G525" i="52"/>
  <c r="G537" i="52"/>
  <c r="G556" i="52"/>
  <c r="G527" i="52"/>
  <c r="G539" i="52"/>
  <c r="A46" i="63" s="1"/>
  <c r="G529" i="52"/>
  <c r="E9" i="63" s="1"/>
  <c r="G530" i="52"/>
  <c r="G542" i="52"/>
  <c r="C12" i="63"/>
  <c r="G506" i="52"/>
  <c r="G505" i="52"/>
  <c r="G509" i="52"/>
  <c r="G507" i="52"/>
  <c r="G504" i="52"/>
  <c r="G508" i="52"/>
  <c r="G520" i="52"/>
  <c r="A75" i="21" s="1"/>
  <c r="G516" i="52"/>
  <c r="G510" i="52"/>
  <c r="G518" i="52"/>
  <c r="G511" i="52"/>
  <c r="G512" i="52"/>
  <c r="G513" i="52"/>
  <c r="G514" i="52"/>
  <c r="G515" i="52"/>
  <c r="G517" i="52"/>
  <c r="G259" i="52"/>
  <c r="G258" i="52"/>
  <c r="G257" i="52"/>
  <c r="B7" i="37" s="1"/>
  <c r="G497" i="52"/>
  <c r="E1" i="59" s="1"/>
  <c r="G500" i="52"/>
  <c r="G501" i="52"/>
  <c r="G502" i="52"/>
  <c r="I159" i="54" s="1"/>
  <c r="G503" i="52"/>
  <c r="I155" i="61" s="1"/>
  <c r="G498" i="52"/>
  <c r="E115" i="55" s="1"/>
  <c r="G499" i="52"/>
  <c r="G496" i="52"/>
  <c r="G495" i="52"/>
  <c r="A3" i="21" s="1"/>
  <c r="G491" i="52"/>
  <c r="G490" i="52"/>
  <c r="G494" i="52"/>
  <c r="G493" i="52"/>
  <c r="G492" i="52"/>
  <c r="G487" i="52"/>
  <c r="G489" i="52"/>
  <c r="G486" i="52"/>
  <c r="G488" i="52"/>
  <c r="G6" i="52"/>
  <c r="A2" i="21" s="1"/>
  <c r="G485" i="52"/>
  <c r="G484" i="52"/>
  <c r="G483" i="52"/>
  <c r="G482" i="52"/>
  <c r="G481" i="52"/>
  <c r="G443" i="52"/>
  <c r="C10" i="6" s="1"/>
  <c r="G418" i="52"/>
  <c r="A10" i="6" s="1"/>
  <c r="G440" i="52"/>
  <c r="A32" i="6" s="1"/>
  <c r="G475" i="52"/>
  <c r="A8" i="6" s="1"/>
  <c r="G452" i="52"/>
  <c r="C24" i="6" s="1"/>
  <c r="G417" i="52"/>
  <c r="B9" i="6" s="1"/>
  <c r="G454" i="52"/>
  <c r="C32" i="6" s="1"/>
  <c r="G455" i="52"/>
  <c r="C33" i="6" s="1"/>
  <c r="G464" i="52"/>
  <c r="A105" i="6" s="1"/>
  <c r="G465" i="52"/>
  <c r="A110" i="6" s="1"/>
  <c r="G466" i="52"/>
  <c r="A112" i="6" s="1"/>
  <c r="A123" i="6" s="1"/>
  <c r="A136" i="6" s="1"/>
  <c r="A147" i="6" s="1"/>
  <c r="A170" i="6" s="1"/>
  <c r="G431" i="52"/>
  <c r="A78" i="6" s="1"/>
  <c r="G467" i="52"/>
  <c r="B112" i="6" s="1"/>
  <c r="B123" i="6" s="1"/>
  <c r="G441" i="52"/>
  <c r="A33" i="6" s="1"/>
  <c r="G476" i="52"/>
  <c r="A58" i="6" s="1"/>
  <c r="G416" i="52"/>
  <c r="A9" i="6" s="1"/>
  <c r="G453" i="52"/>
  <c r="C27" i="6" s="1"/>
  <c r="G419" i="52"/>
  <c r="A66" i="6" s="1"/>
  <c r="G428" i="52"/>
  <c r="A75" i="6" s="1"/>
  <c r="G429" i="52"/>
  <c r="G430" i="52"/>
  <c r="A22" i="6" s="1"/>
  <c r="G442" i="52"/>
  <c r="A34" i="6" s="1"/>
  <c r="G421" i="52"/>
  <c r="G433" i="52"/>
  <c r="G445" i="52"/>
  <c r="C12" i="6" s="1"/>
  <c r="G457" i="52"/>
  <c r="A36" i="6" s="1"/>
  <c r="G469" i="52"/>
  <c r="A134" i="6" s="1"/>
  <c r="G422" i="52"/>
  <c r="G434" i="52"/>
  <c r="G446" i="52"/>
  <c r="C13" i="6" s="1"/>
  <c r="G458" i="52"/>
  <c r="G470" i="52"/>
  <c r="B136" i="6" s="1"/>
  <c r="B147" i="6" s="1"/>
  <c r="G444" i="52"/>
  <c r="C11" i="6" s="1"/>
  <c r="G423" i="52"/>
  <c r="G435" i="52"/>
  <c r="G447" i="52"/>
  <c r="C14" i="6" s="1"/>
  <c r="G459" i="52"/>
  <c r="G471" i="52"/>
  <c r="A145" i="6" s="1"/>
  <c r="G424" i="52"/>
  <c r="G436" i="52"/>
  <c r="G448" i="52"/>
  <c r="C15" i="6" s="1"/>
  <c r="G460" i="52"/>
  <c r="G472" i="52"/>
  <c r="A157" i="6" s="1"/>
  <c r="G425" i="52"/>
  <c r="G437" i="52"/>
  <c r="G449" i="52"/>
  <c r="C17" i="6" s="1"/>
  <c r="G461" i="52"/>
  <c r="G473" i="52"/>
  <c r="B159" i="6" s="1"/>
  <c r="B170" i="6" s="1"/>
  <c r="G420" i="52"/>
  <c r="G432" i="52"/>
  <c r="G468" i="52"/>
  <c r="A121" i="6" s="1"/>
  <c r="G414" i="52"/>
  <c r="A1" i="6" s="1"/>
  <c r="G426" i="52"/>
  <c r="G438" i="52"/>
  <c r="G450" i="52"/>
  <c r="C22" i="6" s="1"/>
  <c r="G462" i="52"/>
  <c r="G474" i="52"/>
  <c r="A168" i="6" s="1"/>
  <c r="G456" i="52"/>
  <c r="C34" i="6" s="1"/>
  <c r="G415" i="52"/>
  <c r="A2" i="6" s="1"/>
  <c r="G427" i="52"/>
  <c r="G439" i="52"/>
  <c r="G451" i="52"/>
  <c r="C23" i="6" s="1"/>
  <c r="G463" i="52"/>
  <c r="G382" i="52"/>
  <c r="G405" i="52"/>
  <c r="G381" i="52"/>
  <c r="G393" i="52"/>
  <c r="G394" i="52"/>
  <c r="G406" i="52"/>
  <c r="A10" i="63" s="1"/>
  <c r="G369" i="52"/>
  <c r="G370" i="52"/>
  <c r="C54" i="9" s="1"/>
  <c r="G371" i="52"/>
  <c r="G383" i="52"/>
  <c r="A23" i="63" s="1"/>
  <c r="G395" i="52"/>
  <c r="G407" i="52"/>
  <c r="A11" i="63" s="1"/>
  <c r="G372" i="52"/>
  <c r="G384" i="52"/>
  <c r="A24" i="63" s="1"/>
  <c r="G396" i="52"/>
  <c r="G408" i="52"/>
  <c r="A12" i="63" s="1"/>
  <c r="G375" i="52"/>
  <c r="A74" i="63" s="1"/>
  <c r="G387" i="52"/>
  <c r="A27" i="63" s="1"/>
  <c r="G399" i="52"/>
  <c r="G376" i="52"/>
  <c r="A75" i="63" s="1"/>
  <c r="G388" i="52"/>
  <c r="A28" i="63" s="1"/>
  <c r="G400" i="52"/>
  <c r="G365" i="52"/>
  <c r="G377" i="52"/>
  <c r="A76" i="63" s="1"/>
  <c r="G389" i="52"/>
  <c r="A29" i="63" s="1"/>
  <c r="G401" i="52"/>
  <c r="G366" i="52"/>
  <c r="G378" i="52"/>
  <c r="G390" i="52"/>
  <c r="A30" i="63" s="1"/>
  <c r="G402" i="52"/>
  <c r="G367" i="52"/>
  <c r="G379" i="52"/>
  <c r="G391" i="52"/>
  <c r="G403" i="52"/>
  <c r="G368" i="52"/>
  <c r="G380" i="52"/>
  <c r="G392" i="52"/>
  <c r="G404" i="52"/>
  <c r="G373" i="52"/>
  <c r="G385" i="52"/>
  <c r="A25" i="63" s="1"/>
  <c r="G397" i="52"/>
  <c r="G409" i="52"/>
  <c r="G374" i="52"/>
  <c r="A73" i="63" s="1"/>
  <c r="G386" i="52"/>
  <c r="A26" i="63" s="1"/>
  <c r="G398" i="52"/>
  <c r="G410" i="52"/>
  <c r="D43" i="63" s="1"/>
  <c r="G364" i="52"/>
  <c r="A1" i="22" s="1"/>
  <c r="G356" i="52"/>
  <c r="C17" i="20" s="1"/>
  <c r="G358" i="52"/>
  <c r="E17" i="20" s="1"/>
  <c r="G345" i="52"/>
  <c r="G357" i="52"/>
  <c r="D17" i="20" s="1"/>
  <c r="G346" i="52"/>
  <c r="A6" i="20" s="1"/>
  <c r="A3" i="22" s="1"/>
  <c r="G347" i="52"/>
  <c r="A7" i="20" s="1"/>
  <c r="A4" i="22" s="1"/>
  <c r="G359" i="52"/>
  <c r="G6" i="20" s="1"/>
  <c r="G3" i="22" s="1"/>
  <c r="G352" i="52"/>
  <c r="A12" i="20" s="1"/>
  <c r="A10" i="22" s="1"/>
  <c r="G353" i="52"/>
  <c r="A13" i="20" s="1"/>
  <c r="A11" i="22" s="1"/>
  <c r="G330" i="52"/>
  <c r="G354" i="52"/>
  <c r="G12" i="20" s="1"/>
  <c r="A12" i="22" s="1"/>
  <c r="G342" i="52"/>
  <c r="B6" i="1" s="1"/>
  <c r="G355" i="52"/>
  <c r="A15" i="20" s="1"/>
  <c r="G360" i="52"/>
  <c r="G7" i="20" s="1"/>
  <c r="G4" i="22" s="1"/>
  <c r="G361" i="52"/>
  <c r="G8" i="20" s="1"/>
  <c r="G5" i="22" s="1"/>
  <c r="G350" i="52"/>
  <c r="A10" i="20" s="1"/>
  <c r="A7" i="22" s="1"/>
  <c r="G362" i="52"/>
  <c r="G9" i="20" s="1"/>
  <c r="G6" i="22" s="1"/>
  <c r="G348" i="52"/>
  <c r="A8" i="20" s="1"/>
  <c r="A5" i="22" s="1"/>
  <c r="G349" i="52"/>
  <c r="A9" i="20" s="1"/>
  <c r="A6" i="22" s="1"/>
  <c r="G351" i="52"/>
  <c r="G363" i="52"/>
  <c r="G10" i="20" s="1"/>
  <c r="G7" i="22" s="1"/>
  <c r="G337" i="52"/>
  <c r="A41" i="6" s="1"/>
  <c r="A96" i="6" s="1"/>
  <c r="G326" i="52"/>
  <c r="A12" i="9" s="1"/>
  <c r="A62" i="9" s="1"/>
  <c r="G338" i="52"/>
  <c r="A42" i="6" s="1"/>
  <c r="A97" i="6" s="1"/>
  <c r="G333" i="52"/>
  <c r="B15" i="9" s="1"/>
  <c r="B65" i="9" s="1"/>
  <c r="G335" i="52"/>
  <c r="A39" i="6" s="1"/>
  <c r="A94" i="6" s="1"/>
  <c r="G325" i="52"/>
  <c r="A7" i="9" s="1"/>
  <c r="A57" i="9" s="1"/>
  <c r="G327" i="52"/>
  <c r="B7" i="9" s="1"/>
  <c r="B57" i="9" s="1"/>
  <c r="G339" i="52"/>
  <c r="A43" i="6" s="1"/>
  <c r="A98" i="6" s="1"/>
  <c r="G331" i="52"/>
  <c r="B11" i="9" s="1"/>
  <c r="B61" i="9" s="1"/>
  <c r="G332" i="52"/>
  <c r="B14" i="9" s="1"/>
  <c r="B64" i="9" s="1"/>
  <c r="G334" i="52"/>
  <c r="A38" i="6" s="1"/>
  <c r="G336" i="52"/>
  <c r="A40" i="6" s="1"/>
  <c r="A95" i="6" s="1"/>
  <c r="G328" i="52"/>
  <c r="B8" i="9" s="1"/>
  <c r="B58" i="9" s="1"/>
  <c r="G340" i="52"/>
  <c r="A44" i="6" s="1"/>
  <c r="A99" i="6" s="1"/>
  <c r="G323" i="52"/>
  <c r="C51" i="9" s="1"/>
  <c r="G324" i="52"/>
  <c r="A37" i="6" s="1"/>
  <c r="A92" i="6" s="1"/>
  <c r="G329" i="52"/>
  <c r="B9" i="9" s="1"/>
  <c r="B59" i="9" s="1"/>
  <c r="G341" i="52"/>
  <c r="A45" i="6" s="1"/>
  <c r="A100" i="6" s="1"/>
  <c r="G320" i="52"/>
  <c r="G308" i="52"/>
  <c r="G314" i="52"/>
  <c r="A47" i="15" s="1"/>
  <c r="G303" i="52"/>
  <c r="G305" i="52"/>
  <c r="G315" i="52"/>
  <c r="G304" i="52"/>
  <c r="G316" i="52"/>
  <c r="G296" i="52"/>
  <c r="G297" i="52"/>
  <c r="G317" i="52"/>
  <c r="A50" i="15" s="1"/>
  <c r="G302" i="52"/>
  <c r="A32" i="15" s="1"/>
  <c r="G306" i="52"/>
  <c r="G318" i="52"/>
  <c r="B26" i="15" s="1"/>
  <c r="G307" i="52"/>
  <c r="G319" i="52"/>
  <c r="G300" i="52"/>
  <c r="A29" i="15" s="1"/>
  <c r="G312" i="52"/>
  <c r="G309" i="52"/>
  <c r="A40" i="15" s="1"/>
  <c r="G298" i="52"/>
  <c r="G310" i="52"/>
  <c r="A42" i="15" s="1"/>
  <c r="G299" i="52"/>
  <c r="A28" i="15" s="1"/>
  <c r="G311" i="52"/>
  <c r="G301" i="52"/>
  <c r="A30" i="15" s="1"/>
  <c r="G313" i="52"/>
  <c r="G292" i="52"/>
  <c r="A4" i="13" s="1"/>
  <c r="G293" i="52"/>
  <c r="B1" i="14" s="1"/>
  <c r="G289" i="52"/>
  <c r="G290" i="52"/>
  <c r="G294" i="52"/>
  <c r="G291" i="52"/>
  <c r="G263" i="52"/>
  <c r="A8" i="8" s="1"/>
  <c r="G275" i="52"/>
  <c r="A24" i="8" s="1"/>
  <c r="G268" i="52"/>
  <c r="A14" i="8" s="1"/>
  <c r="G280" i="52"/>
  <c r="A34" i="8" s="1"/>
  <c r="G264" i="52"/>
  <c r="A9" i="8" s="1"/>
  <c r="G276" i="52"/>
  <c r="A26" i="8" s="1"/>
  <c r="G265" i="52"/>
  <c r="A11" i="8" s="1"/>
  <c r="G277" i="52"/>
  <c r="A30" i="8" s="1"/>
  <c r="G266" i="52"/>
  <c r="A12" i="8" s="1"/>
  <c r="G278" i="52"/>
  <c r="A32" i="8" s="1"/>
  <c r="G267" i="52"/>
  <c r="A13" i="8" s="1"/>
  <c r="G279" i="52"/>
  <c r="A33" i="8" s="1"/>
  <c r="G284" i="52"/>
  <c r="D34" i="8" s="1"/>
  <c r="G282" i="52"/>
  <c r="D32" i="8" s="1"/>
  <c r="G283" i="52"/>
  <c r="D33" i="8" s="1"/>
  <c r="G272" i="52"/>
  <c r="D18" i="8" s="1"/>
  <c r="G261" i="52"/>
  <c r="A6" i="8" s="1"/>
  <c r="G273" i="52"/>
  <c r="A21" i="8" s="1"/>
  <c r="G285" i="52"/>
  <c r="D35" i="8" s="1"/>
  <c r="G269" i="52"/>
  <c r="A16" i="8" s="1"/>
  <c r="G281" i="52"/>
  <c r="A35" i="8" s="1"/>
  <c r="G270" i="52"/>
  <c r="A18" i="8" s="1"/>
  <c r="G271" i="52"/>
  <c r="A19" i="8" s="1"/>
  <c r="G260" i="52"/>
  <c r="B1" i="8" s="1"/>
  <c r="G262" i="52"/>
  <c r="A7" i="8" s="1"/>
  <c r="G274" i="52"/>
  <c r="A23" i="8" s="1"/>
  <c r="G286" i="52"/>
  <c r="A37" i="8" s="1"/>
  <c r="G251" i="52"/>
  <c r="G241" i="52"/>
  <c r="A15" i="42" s="1"/>
  <c r="G231" i="52"/>
  <c r="C1" i="42" s="1"/>
  <c r="G243" i="52"/>
  <c r="A19" i="42" s="1"/>
  <c r="G255" i="52"/>
  <c r="G232" i="52"/>
  <c r="A6" i="42" s="1"/>
  <c r="G244" i="52"/>
  <c r="A20" i="42" s="1"/>
  <c r="G256" i="52"/>
  <c r="B43" i="42" s="1"/>
  <c r="G239" i="52"/>
  <c r="A13" i="42" s="1"/>
  <c r="G252" i="52"/>
  <c r="G253" i="52"/>
  <c r="A43" i="42" s="1"/>
  <c r="G242" i="52"/>
  <c r="A17" i="42" s="1"/>
  <c r="G254" i="52"/>
  <c r="G233" i="52"/>
  <c r="A7" i="42" s="1"/>
  <c r="G245" i="52"/>
  <c r="A37" i="42" s="1"/>
  <c r="G234" i="52"/>
  <c r="G246" i="52"/>
  <c r="A38" i="42" s="1"/>
  <c r="G235" i="52"/>
  <c r="A9" i="42" s="1"/>
  <c r="G236" i="52"/>
  <c r="A10" i="42" s="1"/>
  <c r="G248" i="52"/>
  <c r="C38" i="42" s="1"/>
  <c r="G247" i="52"/>
  <c r="B38" i="42" s="1"/>
  <c r="G237" i="52"/>
  <c r="A11" i="42" s="1"/>
  <c r="G249" i="52"/>
  <c r="D38" i="42" s="1"/>
  <c r="G240" i="52"/>
  <c r="A14" i="42" s="1"/>
  <c r="G238" i="52"/>
  <c r="A12" i="42" s="1"/>
  <c r="G250" i="52"/>
  <c r="E38" i="42" s="1"/>
  <c r="G229" i="52"/>
  <c r="G228" i="52"/>
  <c r="G227" i="52"/>
  <c r="G226" i="52"/>
  <c r="A60" i="37" s="1"/>
  <c r="G225" i="52"/>
  <c r="A59" i="37" s="1"/>
  <c r="G224" i="52"/>
  <c r="A58" i="37" s="1"/>
  <c r="G222" i="52"/>
  <c r="C59" i="37" s="1"/>
  <c r="G221" i="52"/>
  <c r="C57" i="37" s="1"/>
  <c r="G220" i="52"/>
  <c r="G223" i="52"/>
  <c r="A57" i="37" s="1"/>
  <c r="G219" i="52"/>
  <c r="B56" i="37" s="1"/>
  <c r="B103" i="37" s="1"/>
  <c r="B152" i="37" s="1"/>
  <c r="B201" i="37" s="1"/>
  <c r="B250" i="37" s="1"/>
  <c r="G230" i="52"/>
  <c r="G218" i="52"/>
  <c r="G212" i="52"/>
  <c r="B86" i="41" s="1"/>
  <c r="G199" i="52"/>
  <c r="B65" i="41" s="1"/>
  <c r="G209" i="52"/>
  <c r="B83" i="41" s="1"/>
  <c r="G208" i="52"/>
  <c r="B82" i="41" s="1"/>
  <c r="G196" i="52"/>
  <c r="B59" i="41" s="1"/>
  <c r="G207" i="52"/>
  <c r="B81" i="41" s="1"/>
  <c r="G195" i="52"/>
  <c r="B58" i="41" s="1"/>
  <c r="G213" i="52"/>
  <c r="B87" i="41" s="1"/>
  <c r="G200" i="52"/>
  <c r="B66" i="41" s="1"/>
  <c r="G211" i="52"/>
  <c r="B85" i="41" s="1"/>
  <c r="G206" i="52"/>
  <c r="B80" i="41" s="1"/>
  <c r="G194" i="52"/>
  <c r="B57" i="41" s="1"/>
  <c r="G201" i="52"/>
  <c r="B67" i="41" s="1"/>
  <c r="G198" i="52"/>
  <c r="B63" i="41" s="1"/>
  <c r="G197" i="52"/>
  <c r="B62" i="41" s="1"/>
  <c r="G217" i="52"/>
  <c r="B91" i="41" s="1"/>
  <c r="G205" i="52"/>
  <c r="B79" i="41" s="1"/>
  <c r="G193" i="52"/>
  <c r="B56" i="41" s="1"/>
  <c r="G216" i="52"/>
  <c r="B90" i="41" s="1"/>
  <c r="G204" i="52"/>
  <c r="B71" i="41" s="1"/>
  <c r="G192" i="52"/>
  <c r="B48" i="41" s="1"/>
  <c r="G210" i="52"/>
  <c r="B84" i="41" s="1"/>
  <c r="G215" i="52"/>
  <c r="B89" i="41" s="1"/>
  <c r="G203" i="52"/>
  <c r="B70" i="41" s="1"/>
  <c r="G214" i="52"/>
  <c r="B88" i="41" s="1"/>
  <c r="G202" i="52"/>
  <c r="B68" i="41" s="1"/>
  <c r="G76" i="52"/>
  <c r="A88" i="21" s="1"/>
  <c r="G92" i="52"/>
  <c r="A104" i="21" s="1"/>
  <c r="G175" i="52"/>
  <c r="B23" i="41" s="1"/>
  <c r="G151" i="52"/>
  <c r="A66" i="21" s="1"/>
  <c r="G111" i="52"/>
  <c r="H121" i="21" s="1"/>
  <c r="G162" i="52"/>
  <c r="A143" i="21" s="1"/>
  <c r="G90" i="52"/>
  <c r="A102" i="21" s="1"/>
  <c r="G173" i="52"/>
  <c r="B9" i="41" s="1"/>
  <c r="G149" i="52"/>
  <c r="A64" i="21" s="1"/>
  <c r="G186" i="52"/>
  <c r="B42" i="41" s="1"/>
  <c r="G109" i="52"/>
  <c r="D121" i="21" s="1"/>
  <c r="G89" i="52"/>
  <c r="A101" i="21" s="1"/>
  <c r="G129" i="52"/>
  <c r="A163" i="21" s="1"/>
  <c r="G184" i="52"/>
  <c r="B40" i="41" s="1"/>
  <c r="G172" i="52"/>
  <c r="G160" i="52"/>
  <c r="A141" i="21" s="1"/>
  <c r="G148" i="52"/>
  <c r="A63" i="21" s="1"/>
  <c r="G136" i="52"/>
  <c r="A146" i="21" s="1"/>
  <c r="G132" i="52"/>
  <c r="G163" i="52"/>
  <c r="A183" i="21" s="1"/>
  <c r="G139" i="52"/>
  <c r="B148" i="21" s="1"/>
  <c r="G91" i="52"/>
  <c r="A103" i="21" s="1"/>
  <c r="G131" i="52"/>
  <c r="A169" i="21" s="1"/>
  <c r="G174" i="52"/>
  <c r="B22" i="41" s="1"/>
  <c r="G150" i="52"/>
  <c r="A65" i="21" s="1"/>
  <c r="G110" i="52"/>
  <c r="G121" i="21" s="1"/>
  <c r="G130" i="52"/>
  <c r="A158" i="21" s="1"/>
  <c r="G185" i="52"/>
  <c r="B41" i="41" s="1"/>
  <c r="G161" i="52"/>
  <c r="G137" i="52"/>
  <c r="A147" i="21" s="1"/>
  <c r="G124" i="52"/>
  <c r="A133" i="21" s="1"/>
  <c r="G104" i="52"/>
  <c r="A118" i="21" s="1"/>
  <c r="G88" i="52"/>
  <c r="A100" i="21" s="1"/>
  <c r="G128" i="52"/>
  <c r="G183" i="52"/>
  <c r="B39" i="41" s="1"/>
  <c r="G171" i="52"/>
  <c r="A191" i="21" s="1"/>
  <c r="G159" i="52"/>
  <c r="A140" i="21" s="1"/>
  <c r="G147" i="52"/>
  <c r="A62" i="21" s="1"/>
  <c r="G135" i="52"/>
  <c r="A145" i="21" s="1"/>
  <c r="G188" i="52"/>
  <c r="B44" i="41" s="1"/>
  <c r="G140" i="52"/>
  <c r="C148" i="21" s="1"/>
  <c r="G112" i="52"/>
  <c r="I121" i="21" s="1"/>
  <c r="G87" i="52"/>
  <c r="A99" i="21" s="1"/>
  <c r="G134" i="52"/>
  <c r="A144" i="21" s="1"/>
  <c r="G97" i="52"/>
  <c r="A110" i="21" s="1"/>
  <c r="G176" i="52"/>
  <c r="B24" i="41" s="1"/>
  <c r="G152" i="52"/>
  <c r="A67" i="21" s="1"/>
  <c r="G75" i="52"/>
  <c r="A84" i="21" s="1"/>
  <c r="G123" i="52"/>
  <c r="A132" i="21" s="1"/>
  <c r="G127" i="52"/>
  <c r="G170" i="52"/>
  <c r="A190" i="21" s="1"/>
  <c r="G122" i="52"/>
  <c r="A131" i="21" s="1"/>
  <c r="G102" i="52"/>
  <c r="A116" i="21" s="1"/>
  <c r="G85" i="52"/>
  <c r="A97" i="21" s="1"/>
  <c r="G126" i="52"/>
  <c r="I157" i="21" s="1"/>
  <c r="G181" i="52"/>
  <c r="B30" i="41" s="1"/>
  <c r="G169" i="52"/>
  <c r="A189" i="21" s="1"/>
  <c r="G157" i="52"/>
  <c r="A138" i="21" s="1"/>
  <c r="G145" i="52"/>
  <c r="G133" i="52"/>
  <c r="G158" i="52"/>
  <c r="A139" i="21" s="1"/>
  <c r="G121" i="52"/>
  <c r="A130" i="21" s="1"/>
  <c r="G101" i="52"/>
  <c r="A115" i="21" s="1"/>
  <c r="G80" i="52"/>
  <c r="A92" i="21" s="1"/>
  <c r="G125" i="52"/>
  <c r="G180" i="52"/>
  <c r="B29" i="41" s="1"/>
  <c r="G168" i="52"/>
  <c r="A188" i="21" s="1"/>
  <c r="G156" i="52"/>
  <c r="A137" i="21" s="1"/>
  <c r="G144" i="52"/>
  <c r="A153" i="21" s="1"/>
  <c r="G187" i="52"/>
  <c r="B43" i="41" s="1"/>
  <c r="G106" i="52"/>
  <c r="A120" i="21" s="1"/>
  <c r="G138" i="52"/>
  <c r="A148" i="21" s="1"/>
  <c r="G146" i="52"/>
  <c r="A61" i="21" s="1"/>
  <c r="G116" i="52"/>
  <c r="A125" i="21" s="1"/>
  <c r="G100" i="52"/>
  <c r="A114" i="21" s="1"/>
  <c r="G79" i="52"/>
  <c r="A91" i="21" s="1"/>
  <c r="G191" i="52"/>
  <c r="B47" i="41" s="1"/>
  <c r="G179" i="52"/>
  <c r="B27" i="41" s="1"/>
  <c r="A56" i="52" s="1"/>
  <c r="G56" i="52" s="1"/>
  <c r="G167" i="52"/>
  <c r="A187" i="21" s="1"/>
  <c r="G155" i="52"/>
  <c r="A136" i="21" s="1"/>
  <c r="G143" i="52"/>
  <c r="H148" i="21" s="1"/>
  <c r="G115" i="52"/>
  <c r="A124" i="21" s="1"/>
  <c r="G99" i="52"/>
  <c r="A113" i="21" s="1"/>
  <c r="G78" i="52"/>
  <c r="A90" i="21" s="1"/>
  <c r="G190" i="52"/>
  <c r="B46" i="41" s="1"/>
  <c r="G178" i="52"/>
  <c r="B26" i="41" s="1"/>
  <c r="G166" i="52"/>
  <c r="A186" i="21" s="1"/>
  <c r="G154" i="52"/>
  <c r="D60" i="21" s="1"/>
  <c r="G142" i="52"/>
  <c r="F148" i="21" s="1"/>
  <c r="G113" i="52"/>
  <c r="A122" i="21" s="1"/>
  <c r="G164" i="52"/>
  <c r="A184" i="21" s="1"/>
  <c r="G103" i="52"/>
  <c r="A117" i="21" s="1"/>
  <c r="G182" i="52"/>
  <c r="B38" i="41" s="1"/>
  <c r="G114" i="52"/>
  <c r="A123" i="21" s="1"/>
  <c r="G98" i="52"/>
  <c r="G77" i="52"/>
  <c r="A89" i="21" s="1"/>
  <c r="G189" i="52"/>
  <c r="B45" i="41" s="1"/>
  <c r="G177" i="52"/>
  <c r="B25" i="41" s="1"/>
  <c r="G165" i="52"/>
  <c r="A185" i="21" s="1"/>
  <c r="G153" i="52"/>
  <c r="A68" i="21" s="1"/>
  <c r="G141" i="52"/>
  <c r="D148" i="21" s="1"/>
  <c r="G86" i="52"/>
  <c r="A98" i="21" s="1"/>
  <c r="G74" i="52"/>
  <c r="D80" i="21" s="1"/>
  <c r="G73" i="52"/>
  <c r="C80" i="21" s="1"/>
  <c r="G120" i="52"/>
  <c r="A129" i="21" s="1"/>
  <c r="G108" i="52"/>
  <c r="C121" i="21" s="1"/>
  <c r="G96" i="52"/>
  <c r="A108" i="21" s="1"/>
  <c r="G84" i="52"/>
  <c r="A96" i="21" s="1"/>
  <c r="G72" i="52"/>
  <c r="B80" i="21" s="1"/>
  <c r="G119" i="52"/>
  <c r="A128" i="21" s="1"/>
  <c r="G107" i="52"/>
  <c r="B121" i="21" s="1"/>
  <c r="G95" i="52"/>
  <c r="A107" i="21" s="1"/>
  <c r="G83" i="52"/>
  <c r="A95" i="21" s="1"/>
  <c r="G71" i="52"/>
  <c r="A83" i="21" s="1"/>
  <c r="G118" i="52"/>
  <c r="A127" i="21" s="1"/>
  <c r="G94" i="52"/>
  <c r="A106" i="21" s="1"/>
  <c r="G82" i="52"/>
  <c r="A94" i="21" s="1"/>
  <c r="G70" i="52"/>
  <c r="A82" i="21" s="1"/>
  <c r="G117" i="52"/>
  <c r="A126" i="21" s="1"/>
  <c r="G105" i="52"/>
  <c r="A119" i="21" s="1"/>
  <c r="G93" i="52"/>
  <c r="A105" i="21" s="1"/>
  <c r="G81" i="52"/>
  <c r="A93" i="21" s="1"/>
  <c r="G69" i="52"/>
  <c r="A81" i="21" s="1"/>
  <c r="G67" i="52"/>
  <c r="A78" i="21" s="1"/>
  <c r="G66" i="52"/>
  <c r="A77" i="21" s="1"/>
  <c r="G64" i="52"/>
  <c r="G61" i="52"/>
  <c r="B74" i="41" s="1"/>
  <c r="G60" i="52"/>
  <c r="G65" i="52"/>
  <c r="D76" i="21" s="1"/>
  <c r="G58" i="52"/>
  <c r="G63" i="52"/>
  <c r="A69" i="21" s="1"/>
  <c r="G62" i="52"/>
  <c r="B75" i="41" s="1"/>
  <c r="G59" i="52"/>
  <c r="A57" i="21" s="1"/>
  <c r="G68" i="52"/>
  <c r="A79" i="21" s="1"/>
  <c r="G57" i="52"/>
  <c r="A55" i="21" s="1"/>
  <c r="G52" i="52"/>
  <c r="A50" i="21" s="1"/>
  <c r="G44" i="52"/>
  <c r="A42" i="21" s="1"/>
  <c r="G43" i="52"/>
  <c r="A41" i="21" s="1"/>
  <c r="G54" i="52"/>
  <c r="A52" i="21" s="1"/>
  <c r="G42" i="52"/>
  <c r="A40" i="21" s="1"/>
  <c r="A39" i="21" s="1"/>
  <c r="G53" i="52"/>
  <c r="A51" i="21" s="1"/>
  <c r="G41" i="52"/>
  <c r="A38" i="21" s="1"/>
  <c r="G40" i="52"/>
  <c r="A37" i="21" s="1"/>
  <c r="G49" i="52"/>
  <c r="A47" i="21" s="1"/>
  <c r="G47" i="52"/>
  <c r="A45" i="21" s="1"/>
  <c r="G36" i="52"/>
  <c r="A32" i="21" s="1"/>
  <c r="G51" i="52"/>
  <c r="A49" i="21" s="1"/>
  <c r="G39" i="52"/>
  <c r="A36" i="21" s="1"/>
  <c r="G50" i="52"/>
  <c r="A48" i="21" s="1"/>
  <c r="G38" i="52"/>
  <c r="G48" i="52"/>
  <c r="A46" i="21" s="1"/>
  <c r="G37" i="52"/>
  <c r="A33" i="21" s="1"/>
  <c r="G46" i="52"/>
  <c r="A44" i="21" s="1"/>
  <c r="G35" i="52"/>
  <c r="A31" i="21" s="1"/>
  <c r="G45" i="52"/>
  <c r="A43" i="21" s="1"/>
  <c r="G18" i="52"/>
  <c r="A16" i="21" s="1"/>
  <c r="G32" i="52"/>
  <c r="A28" i="21" s="1"/>
  <c r="G31" i="52"/>
  <c r="G17" i="52"/>
  <c r="A14" i="21" s="1"/>
  <c r="G16" i="52"/>
  <c r="A13" i="21" s="1"/>
  <c r="G34" i="52"/>
  <c r="G33" i="52"/>
  <c r="A29" i="21" s="1"/>
  <c r="G20" i="52"/>
  <c r="A17" i="21" s="1"/>
  <c r="G30" i="52"/>
  <c r="C76" i="21" s="1"/>
  <c r="G28" i="52"/>
  <c r="G27" i="52"/>
  <c r="A25" i="21" s="1"/>
  <c r="G15" i="52"/>
  <c r="A12" i="21" s="1"/>
  <c r="G26" i="52"/>
  <c r="A24" i="21" s="1"/>
  <c r="G14" i="52"/>
  <c r="A11" i="21" s="1"/>
  <c r="G25" i="52"/>
  <c r="A23" i="21" s="1"/>
  <c r="G13" i="52"/>
  <c r="A15" i="21" s="1"/>
  <c r="G24" i="52"/>
  <c r="A22" i="21" s="1"/>
  <c r="G12" i="52"/>
  <c r="A10" i="21" s="1"/>
  <c r="G22" i="52"/>
  <c r="A20" i="21" s="1"/>
  <c r="G21" i="52"/>
  <c r="G19" i="52"/>
  <c r="G29" i="52"/>
  <c r="B76" i="21" s="1"/>
  <c r="G23" i="52"/>
  <c r="A21" i="21" s="1"/>
  <c r="G11" i="52"/>
  <c r="A9" i="21" s="1"/>
  <c r="G5" i="52"/>
  <c r="A1" i="21" s="1"/>
  <c r="G9" i="52"/>
  <c r="A7" i="21" s="1"/>
  <c r="G8" i="52"/>
  <c r="A6" i="21" s="1"/>
  <c r="G7" i="52"/>
  <c r="A5" i="21" s="1"/>
  <c r="G10" i="52"/>
  <c r="A8" i="21" s="1"/>
  <c r="B2" i="51"/>
  <c r="A66" i="50"/>
  <c r="A61" i="50"/>
  <c r="A76" i="50"/>
  <c r="A65" i="50"/>
  <c r="A69" i="50"/>
  <c r="A64" i="50"/>
  <c r="A68" i="50"/>
  <c r="A62" i="50"/>
  <c r="C143" i="21"/>
  <c r="B143" i="21"/>
  <c r="D142" i="21"/>
  <c r="E22" i="41" l="1"/>
  <c r="B79" i="6"/>
  <c r="F22" i="41"/>
  <c r="B24" i="6"/>
  <c r="I63" i="66"/>
  <c r="G63" i="66"/>
  <c r="E63" i="66"/>
  <c r="C63" i="66"/>
  <c r="E155" i="61"/>
  <c r="E159" i="54"/>
  <c r="F10" i="66"/>
  <c r="F43" i="66"/>
  <c r="E72" i="66"/>
  <c r="G72" i="66"/>
  <c r="I72" i="66"/>
  <c r="C72" i="66"/>
  <c r="E88" i="66"/>
  <c r="E86" i="66"/>
  <c r="H122" i="66"/>
  <c r="G123" i="66" s="1"/>
  <c r="E3" i="66"/>
  <c r="A115" i="66"/>
  <c r="A27" i="67"/>
  <c r="A38" i="67" s="1"/>
  <c r="I38" i="67" s="1"/>
  <c r="N38" i="67" s="1"/>
  <c r="A111" i="66"/>
  <c r="A23" i="67"/>
  <c r="A43" i="67" s="1"/>
  <c r="A92" i="66"/>
  <c r="A4" i="67"/>
  <c r="A62" i="67" s="1"/>
  <c r="N62" i="67" s="1"/>
  <c r="I62" i="67" s="1"/>
  <c r="A109" i="66"/>
  <c r="A21" i="67"/>
  <c r="A47" i="67" s="1"/>
  <c r="I47" i="67" s="1"/>
  <c r="N47" i="67" s="1"/>
  <c r="A120" i="66"/>
  <c r="A32" i="67"/>
  <c r="A36" i="67" s="1"/>
  <c r="N36" i="67" s="1"/>
  <c r="E1" i="66"/>
  <c r="E55" i="68"/>
  <c r="A102" i="66"/>
  <c r="A14" i="67"/>
  <c r="A54" i="67" s="1"/>
  <c r="N54" i="67" s="1"/>
  <c r="I54" i="67" s="1"/>
  <c r="A96" i="66"/>
  <c r="A8" i="67"/>
  <c r="A56" i="67" s="1"/>
  <c r="N56" i="67" s="1"/>
  <c r="I56" i="67" s="1"/>
  <c r="A107" i="66"/>
  <c r="A19" i="67"/>
  <c r="A49" i="67" s="1"/>
  <c r="I49" i="67" s="1"/>
  <c r="N49" i="67" s="1"/>
  <c r="A104" i="66"/>
  <c r="A16" i="67"/>
  <c r="A51" i="67" s="1"/>
  <c r="N51" i="67" s="1"/>
  <c r="I51" i="67" s="1"/>
  <c r="E1" i="68"/>
  <c r="B1" i="65"/>
  <c r="C55" i="68"/>
  <c r="C86" i="66"/>
  <c r="C1" i="68"/>
  <c r="C1" i="66"/>
  <c r="C1" i="64"/>
  <c r="B19" i="64"/>
  <c r="A6" i="65"/>
  <c r="C1" i="65"/>
  <c r="D6" i="65"/>
  <c r="G6" i="65"/>
  <c r="F6" i="65"/>
  <c r="E6" i="65"/>
  <c r="C53" i="9"/>
  <c r="B22" i="64"/>
  <c r="E6" i="64"/>
  <c r="A18" i="64"/>
  <c r="B27" i="64"/>
  <c r="B25" i="64"/>
  <c r="B30" i="64"/>
  <c r="B15" i="64"/>
  <c r="G6" i="64"/>
  <c r="B12" i="64"/>
  <c r="B10" i="64"/>
  <c r="A6" i="64"/>
  <c r="B24" i="64"/>
  <c r="C6" i="64"/>
  <c r="B14" i="64"/>
  <c r="B29" i="64"/>
  <c r="B17" i="64"/>
  <c r="C35" i="64"/>
  <c r="F6" i="64"/>
  <c r="B8" i="64"/>
  <c r="B16" i="64"/>
  <c r="B11" i="64"/>
  <c r="A7" i="64"/>
  <c r="B7" i="64"/>
  <c r="B9" i="64"/>
  <c r="D6" i="64"/>
  <c r="B23" i="64"/>
  <c r="A12" i="64"/>
  <c r="B6" i="64"/>
  <c r="B13" i="64"/>
  <c r="B28" i="64"/>
  <c r="B26" i="64"/>
  <c r="B169" i="21"/>
  <c r="B172" i="21"/>
  <c r="B171" i="21"/>
  <c r="A142" i="21"/>
  <c r="B1" i="64"/>
  <c r="B35" i="64"/>
  <c r="A156" i="21"/>
  <c r="A58" i="21"/>
  <c r="A172" i="21"/>
  <c r="A177" i="21"/>
  <c r="E43" i="63"/>
  <c r="A43" i="63"/>
  <c r="E10" i="63"/>
  <c r="E11" i="63"/>
  <c r="E12" i="63"/>
  <c r="E13" i="63"/>
  <c r="A1" i="63"/>
  <c r="B2" i="63"/>
  <c r="A44" i="63"/>
  <c r="E44" i="63"/>
  <c r="E16" i="63"/>
  <c r="A16" i="63"/>
  <c r="A33" i="63"/>
  <c r="E33" i="63"/>
  <c r="A35" i="63"/>
  <c r="E35" i="63"/>
  <c r="E38" i="63"/>
  <c r="A38" i="63"/>
  <c r="A34" i="63"/>
  <c r="E34" i="63"/>
  <c r="A37" i="63"/>
  <c r="E37" i="63"/>
  <c r="A40" i="63"/>
  <c r="E40" i="63"/>
  <c r="E39" i="63"/>
  <c r="A39" i="63"/>
  <c r="A36" i="63"/>
  <c r="E36" i="63"/>
  <c r="D103" i="37"/>
  <c r="D56" i="37"/>
  <c r="D152" i="37"/>
  <c r="D201" i="37"/>
  <c r="D250" i="37"/>
  <c r="C159" i="37"/>
  <c r="C208" i="37"/>
  <c r="C257" i="37"/>
  <c r="A29" i="38"/>
  <c r="A25" i="38"/>
  <c r="A8" i="38"/>
  <c r="A8" i="63"/>
  <c r="A96" i="15"/>
  <c r="A96" i="16"/>
  <c r="A164" i="37"/>
  <c r="A115" i="37"/>
  <c r="A213" i="37"/>
  <c r="A262" i="37"/>
  <c r="A68" i="37"/>
  <c r="C209" i="37"/>
  <c r="C258" i="37"/>
  <c r="C64" i="37"/>
  <c r="C14" i="37" s="1"/>
  <c r="C111" i="37"/>
  <c r="C160" i="37"/>
  <c r="C115" i="37"/>
  <c r="C164" i="37"/>
  <c r="C213" i="37"/>
  <c r="C262" i="37"/>
  <c r="C68" i="37"/>
  <c r="C18" i="37" s="1"/>
  <c r="A113" i="37"/>
  <c r="A162" i="37"/>
  <c r="A211" i="37"/>
  <c r="A260" i="37"/>
  <c r="A66" i="37"/>
  <c r="A119" i="37"/>
  <c r="A168" i="37"/>
  <c r="A217" i="37"/>
  <c r="A266" i="37"/>
  <c r="A72" i="37"/>
  <c r="A104" i="37"/>
  <c r="A153" i="37"/>
  <c r="A202" i="37" s="1"/>
  <c r="A251" i="37" s="1"/>
  <c r="A16" i="38"/>
  <c r="A79" i="63"/>
  <c r="A13" i="38"/>
  <c r="A41" i="38"/>
  <c r="A95" i="15"/>
  <c r="A95" i="16"/>
  <c r="A32" i="38"/>
  <c r="C88" i="16"/>
  <c r="C88" i="15"/>
  <c r="A100" i="15"/>
  <c r="A100" i="16"/>
  <c r="C112" i="37"/>
  <c r="C161" i="37"/>
  <c r="C210" i="37"/>
  <c r="C259" i="37"/>
  <c r="C65" i="37"/>
  <c r="C15" i="37" s="1"/>
  <c r="A19" i="38"/>
  <c r="A70" i="37"/>
  <c r="A264" i="37"/>
  <c r="A117" i="37"/>
  <c r="A166" i="37"/>
  <c r="A215" i="37"/>
  <c r="A36" i="38"/>
  <c r="C110" i="37"/>
  <c r="C63" i="37"/>
  <c r="A105" i="37"/>
  <c r="A154" i="37"/>
  <c r="A203" i="37" s="1"/>
  <c r="A252" i="37" s="1"/>
  <c r="A22" i="38"/>
  <c r="A15" i="38"/>
  <c r="A78" i="63"/>
  <c r="A12" i="38"/>
  <c r="B150" i="37"/>
  <c r="B248" i="37"/>
  <c r="B199" i="37"/>
  <c r="B5" i="63"/>
  <c r="B101" i="37"/>
  <c r="B54" i="37"/>
  <c r="J27" i="16"/>
  <c r="J33" i="16" s="1"/>
  <c r="J38" i="16" s="1"/>
  <c r="J43" i="16" s="1"/>
  <c r="A89" i="16"/>
  <c r="A27" i="15"/>
  <c r="A89" i="15"/>
  <c r="A94" i="15"/>
  <c r="A94" i="16"/>
  <c r="C260" i="37"/>
  <c r="C113" i="37"/>
  <c r="C162" i="37"/>
  <c r="C211" i="37"/>
  <c r="C66" i="37"/>
  <c r="C16" i="37" s="1"/>
  <c r="C106" i="37"/>
  <c r="C155" i="37" s="1"/>
  <c r="C204" i="37" s="1"/>
  <c r="C253" i="37"/>
  <c r="C9" i="37" s="1"/>
  <c r="A67" i="37"/>
  <c r="A261" i="37"/>
  <c r="A114" i="37"/>
  <c r="A163" i="37"/>
  <c r="A212" i="37"/>
  <c r="A64" i="37"/>
  <c r="A111" i="37"/>
  <c r="A160" i="37"/>
  <c r="A258" i="37"/>
  <c r="A209" i="37"/>
  <c r="A116" i="37"/>
  <c r="A165" i="37"/>
  <c r="A214" i="37"/>
  <c r="A263" i="37"/>
  <c r="A69" i="37"/>
  <c r="C206" i="37"/>
  <c r="C108" i="37"/>
  <c r="C255" i="37"/>
  <c r="C61" i="37"/>
  <c r="C11" i="37" s="1"/>
  <c r="C157" i="37"/>
  <c r="C263" i="37"/>
  <c r="C116" i="37"/>
  <c r="C165" i="37"/>
  <c r="C214" i="37"/>
  <c r="C69" i="37"/>
  <c r="C19" i="37" s="1"/>
  <c r="A106" i="37"/>
  <c r="A155" i="37"/>
  <c r="A204" i="37" s="1"/>
  <c r="A253" i="37" s="1"/>
  <c r="A10" i="38"/>
  <c r="A37" i="38"/>
  <c r="A41" i="63"/>
  <c r="B149" i="37"/>
  <c r="B247" i="37"/>
  <c r="B198" i="37"/>
  <c r="B53" i="37"/>
  <c r="B4" i="63"/>
  <c r="B100" i="37"/>
  <c r="A219" i="37"/>
  <c r="A74" i="37"/>
  <c r="A121" i="37"/>
  <c r="A170" i="37"/>
  <c r="A268" i="37"/>
  <c r="A92" i="15"/>
  <c r="A92" i="16"/>
  <c r="A11" i="37"/>
  <c r="A61" i="37"/>
  <c r="A255" i="37"/>
  <c r="A108" i="37"/>
  <c r="A157" i="37"/>
  <c r="A206" i="37"/>
  <c r="C118" i="37"/>
  <c r="C167" i="37"/>
  <c r="C216" i="37"/>
  <c r="C265" i="37"/>
  <c r="C71" i="37"/>
  <c r="C21" i="37" s="1"/>
  <c r="A1" i="38"/>
  <c r="C104" i="37"/>
  <c r="C153" i="37"/>
  <c r="C202" i="37" s="1"/>
  <c r="C251" i="37"/>
  <c r="C7" i="37" s="1"/>
  <c r="A28" i="38"/>
  <c r="A24" i="38"/>
  <c r="A6" i="38"/>
  <c r="A6" i="63"/>
  <c r="A167" i="37"/>
  <c r="A216" i="37"/>
  <c r="A265" i="37"/>
  <c r="A71" i="37"/>
  <c r="A118" i="37"/>
  <c r="C212" i="37"/>
  <c r="C261" i="37"/>
  <c r="C67" i="37"/>
  <c r="C17" i="37" s="1"/>
  <c r="C114" i="37"/>
  <c r="C163" i="37"/>
  <c r="A107" i="37"/>
  <c r="A156" i="37"/>
  <c r="A205" i="37" s="1"/>
  <c r="A254" i="37" s="1"/>
  <c r="D26" i="15"/>
  <c r="P26" i="15" s="1"/>
  <c r="W26" i="15" s="1"/>
  <c r="A43" i="38"/>
  <c r="A23" i="38"/>
  <c r="A40" i="38"/>
  <c r="D74" i="37"/>
  <c r="D268" i="37"/>
  <c r="D121" i="37"/>
  <c r="D170" i="37"/>
  <c r="D219" i="37"/>
  <c r="A35" i="38"/>
  <c r="A26" i="38"/>
  <c r="A11" i="38"/>
  <c r="A31" i="38"/>
  <c r="B88" i="16"/>
  <c r="B88" i="15"/>
  <c r="A91" i="15"/>
  <c r="A91" i="16"/>
  <c r="C215" i="37"/>
  <c r="C264" i="37"/>
  <c r="C70" i="37"/>
  <c r="C20" i="37" s="1"/>
  <c r="C117" i="37"/>
  <c r="C166" i="37"/>
  <c r="A21" i="38"/>
  <c r="A14" i="38"/>
  <c r="A77" i="63"/>
  <c r="A42" i="38"/>
  <c r="A30" i="38"/>
  <c r="A99" i="16"/>
  <c r="A99" i="15"/>
  <c r="A93" i="15"/>
  <c r="A93" i="16"/>
  <c r="A161" i="37"/>
  <c r="A210" i="37"/>
  <c r="A259" i="37"/>
  <c r="A65" i="37"/>
  <c r="A112" i="37"/>
  <c r="B147" i="37"/>
  <c r="B245" i="37"/>
  <c r="B196" i="37"/>
  <c r="B51" i="37"/>
  <c r="B98" i="37"/>
  <c r="A158" i="37"/>
  <c r="C158" i="37" s="1"/>
  <c r="A207" i="37"/>
  <c r="C207" i="37" s="1"/>
  <c r="A256" i="37"/>
  <c r="C256" i="37" s="1"/>
  <c r="A62" i="37"/>
  <c r="C62" i="37" s="1"/>
  <c r="A109" i="37"/>
  <c r="C109" i="37" s="1"/>
  <c r="A110" i="37"/>
  <c r="A159" i="37"/>
  <c r="A208" i="37"/>
  <c r="A257" i="37"/>
  <c r="A63" i="37"/>
  <c r="A9" i="38"/>
  <c r="A33" i="38"/>
  <c r="A17" i="38"/>
  <c r="A80" i="63"/>
  <c r="A98" i="16"/>
  <c r="A98" i="15"/>
  <c r="I43" i="62"/>
  <c r="A88" i="16"/>
  <c r="I2" i="62"/>
  <c r="A88" i="15"/>
  <c r="A20" i="38"/>
  <c r="A39" i="38"/>
  <c r="E43" i="62"/>
  <c r="E2" i="62"/>
  <c r="I41" i="54"/>
  <c r="A97" i="15"/>
  <c r="A97" i="16"/>
  <c r="A90" i="16"/>
  <c r="A90" i="15"/>
  <c r="I1" i="54"/>
  <c r="E1" i="60"/>
  <c r="I1" i="61"/>
  <c r="E1" i="55"/>
  <c r="E120" i="54"/>
  <c r="E117" i="61"/>
  <c r="B52" i="27"/>
  <c r="B52" i="33"/>
  <c r="B7" i="30"/>
  <c r="B52" i="32"/>
  <c r="B37" i="27"/>
  <c r="B37" i="33"/>
  <c r="B52" i="28"/>
  <c r="B7" i="32"/>
  <c r="B7" i="27"/>
  <c r="B7" i="33"/>
  <c r="B7" i="28"/>
  <c r="B37" i="28"/>
  <c r="B37" i="32"/>
  <c r="B1" i="37"/>
  <c r="C52" i="27"/>
  <c r="C52" i="33"/>
  <c r="C7" i="30"/>
  <c r="C7" i="32"/>
  <c r="C37" i="27"/>
  <c r="C37" i="33"/>
  <c r="C7" i="27"/>
  <c r="C7" i="33"/>
  <c r="C7" i="28"/>
  <c r="C52" i="28"/>
  <c r="C52" i="32"/>
  <c r="C37" i="28"/>
  <c r="C37" i="32"/>
  <c r="B4" i="37"/>
  <c r="B3" i="37"/>
  <c r="A24" i="37"/>
  <c r="D24" i="37"/>
  <c r="I1" i="56"/>
  <c r="E1" i="57"/>
  <c r="E58" i="55"/>
  <c r="E115" i="60"/>
  <c r="I79" i="61"/>
  <c r="E41" i="61"/>
  <c r="C1" i="60"/>
  <c r="E1" i="61"/>
  <c r="C115" i="60"/>
  <c r="D1" i="20"/>
  <c r="C58" i="60"/>
  <c r="E79" i="61"/>
  <c r="C1" i="9"/>
  <c r="A89" i="60"/>
  <c r="A146" i="60"/>
  <c r="A32" i="60"/>
  <c r="C4" i="42"/>
  <c r="B5" i="38"/>
  <c r="C4" i="9"/>
  <c r="A9" i="22"/>
  <c r="G1" i="20"/>
  <c r="B2" i="38"/>
  <c r="C3" i="42"/>
  <c r="C3" i="9"/>
  <c r="B4" i="38"/>
  <c r="A6" i="60"/>
  <c r="A63" i="60"/>
  <c r="A120" i="60"/>
  <c r="A48" i="16"/>
  <c r="A38" i="16"/>
  <c r="A33" i="16"/>
  <c r="A27" i="16"/>
  <c r="A33" i="15"/>
  <c r="A43" i="16"/>
  <c r="E58" i="60"/>
  <c r="I41" i="61"/>
  <c r="A6" i="57"/>
  <c r="A120" i="55"/>
  <c r="A6" i="59"/>
  <c r="A6" i="55"/>
  <c r="A63" i="55"/>
  <c r="C1" i="59"/>
  <c r="C1" i="57"/>
  <c r="C1" i="55"/>
  <c r="E1" i="54"/>
  <c r="C58" i="55"/>
  <c r="C115" i="55"/>
  <c r="A146" i="55"/>
  <c r="A32" i="55"/>
  <c r="A32" i="59"/>
  <c r="A89" i="55"/>
  <c r="A32" i="57"/>
  <c r="K26" i="15"/>
  <c r="S26" i="15" s="1"/>
  <c r="K26" i="16"/>
  <c r="S26" i="16" s="1"/>
  <c r="K32" i="15"/>
  <c r="S32" i="15" s="1"/>
  <c r="K32" i="16"/>
  <c r="N32" i="16"/>
  <c r="V32" i="16" s="1"/>
  <c r="N26" i="16"/>
  <c r="V26" i="16" s="1"/>
  <c r="M26" i="16"/>
  <c r="U26" i="16" s="1"/>
  <c r="M32" i="16"/>
  <c r="L32" i="15"/>
  <c r="T32" i="15" s="1"/>
  <c r="L32" i="16"/>
  <c r="T32" i="16" s="1"/>
  <c r="I1" i="58"/>
  <c r="I80" i="54"/>
  <c r="L26" i="15"/>
  <c r="T26" i="15" s="1"/>
  <c r="L26" i="16"/>
  <c r="T26" i="16" s="1"/>
  <c r="E1" i="58"/>
  <c r="E1" i="56"/>
  <c r="E80" i="54"/>
  <c r="E41" i="54"/>
  <c r="N26" i="15"/>
  <c r="V26" i="15" s="1"/>
  <c r="N32" i="15"/>
  <c r="V32" i="15" s="1"/>
  <c r="M26" i="15"/>
  <c r="U26" i="15" s="1"/>
  <c r="M32" i="15"/>
  <c r="A87" i="6"/>
  <c r="A65" i="6"/>
  <c r="A159" i="6"/>
  <c r="A11" i="6"/>
  <c r="A77" i="6"/>
  <c r="A91" i="6"/>
  <c r="A88" i="6"/>
  <c r="A20" i="6"/>
  <c r="A89" i="6"/>
  <c r="A21" i="6"/>
  <c r="A76" i="6"/>
  <c r="A23" i="6"/>
  <c r="A84" i="6"/>
  <c r="A29" i="6"/>
  <c r="A70" i="6"/>
  <c r="A15" i="6"/>
  <c r="A82" i="6"/>
  <c r="A27" i="6"/>
  <c r="C42" i="6"/>
  <c r="C97" i="6"/>
  <c r="A17" i="6"/>
  <c r="A72" i="6"/>
  <c r="C41" i="6"/>
  <c r="C96" i="6"/>
  <c r="C99" i="6" s="1"/>
  <c r="C100" i="6" s="1"/>
  <c r="A73" i="6"/>
  <c r="A18" i="6"/>
  <c r="A83" i="6"/>
  <c r="A28" i="6"/>
  <c r="A30" i="6"/>
  <c r="A85" i="6"/>
  <c r="C43" i="6"/>
  <c r="C98" i="6"/>
  <c r="A71" i="6"/>
  <c r="A16" i="6"/>
  <c r="A25" i="6"/>
  <c r="A80" i="6"/>
  <c r="C40" i="6"/>
  <c r="C95" i="6"/>
  <c r="A24" i="6"/>
  <c r="A79" i="6"/>
  <c r="C38" i="6"/>
  <c r="C93" i="6"/>
  <c r="A68" i="6"/>
  <c r="A13" i="6"/>
  <c r="A69" i="6"/>
  <c r="A14" i="6"/>
  <c r="A31" i="6"/>
  <c r="A86" i="6"/>
  <c r="A12" i="6"/>
  <c r="A67" i="6"/>
  <c r="A19" i="6"/>
  <c r="A74" i="6"/>
  <c r="C39" i="6"/>
  <c r="C94" i="6"/>
  <c r="A26" i="6"/>
  <c r="A81" i="6"/>
  <c r="D28" i="20"/>
  <c r="D16" i="22"/>
  <c r="D27" i="22" s="1"/>
  <c r="E28" i="20"/>
  <c r="E16" i="22"/>
  <c r="E27" i="22" s="1"/>
  <c r="A25" i="20"/>
  <c r="A14" i="22"/>
  <c r="C28" i="20"/>
  <c r="C16" i="22"/>
  <c r="C27" i="22" s="1"/>
  <c r="B12" i="9"/>
  <c r="B62" i="9" s="1"/>
  <c r="A93" i="6"/>
  <c r="A26" i="15"/>
  <c r="A26" i="16"/>
  <c r="J26" i="16" s="1"/>
  <c r="R26" i="16" s="1"/>
  <c r="J42" i="15"/>
  <c r="A42" i="16"/>
  <c r="J42" i="16" s="1"/>
  <c r="A49" i="15"/>
  <c r="A49" i="16"/>
  <c r="J40" i="15"/>
  <c r="A40" i="16"/>
  <c r="J40" i="16" s="1"/>
  <c r="A34" i="15"/>
  <c r="J34" i="15" s="1"/>
  <c r="R34" i="15" s="1"/>
  <c r="A34" i="16"/>
  <c r="J34" i="16" s="1"/>
  <c r="R34" i="16" s="1"/>
  <c r="J30" i="15"/>
  <c r="R30" i="15" s="1"/>
  <c r="A30" i="16"/>
  <c r="J30" i="16" s="1"/>
  <c r="R30" i="16" s="1"/>
  <c r="J29" i="15"/>
  <c r="R29" i="15" s="1"/>
  <c r="A29" i="16"/>
  <c r="J29" i="16" s="1"/>
  <c r="R29" i="16" s="1"/>
  <c r="A35" i="15"/>
  <c r="J35" i="15" s="1"/>
  <c r="R35" i="15" s="1"/>
  <c r="A35" i="16"/>
  <c r="J35" i="16" s="1"/>
  <c r="R35" i="16" s="1"/>
  <c r="A38" i="15"/>
  <c r="A47" i="16"/>
  <c r="J32" i="15"/>
  <c r="R32" i="15" s="1"/>
  <c r="A32" i="16"/>
  <c r="J32" i="16" s="1"/>
  <c r="R32" i="16" s="1"/>
  <c r="A43" i="15"/>
  <c r="J50" i="15"/>
  <c r="P50" i="15" s="1"/>
  <c r="A50" i="16"/>
  <c r="J50" i="16" s="1"/>
  <c r="P50" i="16" s="1"/>
  <c r="A28" i="16"/>
  <c r="A39" i="15"/>
  <c r="J39" i="15" s="1"/>
  <c r="A39" i="16"/>
  <c r="J39" i="16" s="1"/>
  <c r="A44" i="15"/>
  <c r="J44" i="15" s="1"/>
  <c r="A44" i="16"/>
  <c r="J44" i="16" s="1"/>
  <c r="A48" i="15"/>
  <c r="A45" i="15"/>
  <c r="J45" i="15" s="1"/>
  <c r="A45" i="16"/>
  <c r="J45" i="16" s="1"/>
  <c r="A37" i="15"/>
  <c r="A37" i="16"/>
  <c r="B47" i="15"/>
  <c r="B42" i="15"/>
  <c r="K42" i="15" s="1"/>
  <c r="B26" i="16"/>
  <c r="B37" i="15"/>
  <c r="K37" i="15" s="1"/>
  <c r="B32" i="15"/>
  <c r="C26" i="15"/>
  <c r="C26" i="16"/>
  <c r="A4" i="11"/>
  <c r="A4" i="10"/>
  <c r="A4" i="14"/>
  <c r="A2" i="14"/>
  <c r="A2" i="13"/>
  <c r="A2" i="11"/>
  <c r="A2" i="10"/>
  <c r="A1" i="14"/>
  <c r="A1" i="13"/>
  <c r="A1" i="11"/>
  <c r="A1" i="10"/>
  <c r="B3" i="11"/>
  <c r="B3" i="10"/>
  <c r="B3" i="14"/>
  <c r="B3" i="13"/>
  <c r="B1" i="11"/>
  <c r="A3" i="14"/>
  <c r="A3" i="11"/>
  <c r="A3" i="10"/>
  <c r="A3" i="13"/>
  <c r="B42" i="42"/>
  <c r="B40" i="42"/>
  <c r="A42" i="42"/>
  <c r="A41" i="42"/>
  <c r="A8" i="42"/>
  <c r="B41" i="42"/>
  <c r="B39" i="42"/>
  <c r="A39" i="42"/>
  <c r="A40" i="42"/>
  <c r="B6" i="37"/>
  <c r="A37" i="30"/>
  <c r="A7" i="30" s="1"/>
  <c r="A7" i="37"/>
  <c r="A52" i="30"/>
  <c r="A22" i="30" s="1"/>
  <c r="D6" i="37"/>
  <c r="A8" i="37"/>
  <c r="A9" i="37"/>
  <c r="A10" i="37"/>
  <c r="A111" i="21"/>
  <c r="A55" i="52"/>
  <c r="G55" i="52" s="1"/>
  <c r="E121" i="21"/>
  <c r="F121" i="21"/>
  <c r="D57" i="21"/>
  <c r="D93" i="21"/>
  <c r="F76" i="21"/>
  <c r="D100" i="21"/>
  <c r="D18" i="21"/>
  <c r="B18" i="21"/>
  <c r="B35" i="21"/>
  <c r="C18" i="21"/>
  <c r="C35" i="21"/>
  <c r="A26" i="21"/>
  <c r="C30" i="21"/>
  <c r="A19" i="21"/>
  <c r="B30" i="21"/>
  <c r="C10" i="37"/>
  <c r="H19" i="47"/>
  <c r="H18" i="47"/>
  <c r="H17" i="47"/>
  <c r="H16" i="47"/>
  <c r="H15" i="47"/>
  <c r="H14" i="47"/>
  <c r="H13" i="47"/>
  <c r="H12" i="47"/>
  <c r="H11" i="47"/>
  <c r="H10" i="47"/>
  <c r="H9" i="47"/>
  <c r="H8" i="47"/>
  <c r="H6" i="47"/>
  <c r="H21" i="47"/>
  <c r="G19" i="47"/>
  <c r="G18" i="47"/>
  <c r="G17" i="47"/>
  <c r="G16" i="47"/>
  <c r="G15" i="47"/>
  <c r="G14" i="47"/>
  <c r="G13" i="47"/>
  <c r="G12" i="47"/>
  <c r="G11" i="47"/>
  <c r="G10" i="47"/>
  <c r="G9" i="47"/>
  <c r="G8" i="47"/>
  <c r="G6" i="47"/>
  <c r="G21" i="47"/>
  <c r="F19" i="47"/>
  <c r="F18" i="47"/>
  <c r="F17" i="47"/>
  <c r="F16" i="47"/>
  <c r="F15" i="47"/>
  <c r="F14" i="47"/>
  <c r="F13" i="47"/>
  <c r="F12" i="47"/>
  <c r="F11" i="47"/>
  <c r="F10" i="47"/>
  <c r="F9" i="47"/>
  <c r="F8" i="47"/>
  <c r="F6" i="47"/>
  <c r="F21" i="47"/>
  <c r="E6" i="47"/>
  <c r="E21" i="47"/>
  <c r="C14" i="47"/>
  <c r="C16" i="47"/>
  <c r="C13" i="47"/>
  <c r="C10" i="47"/>
  <c r="E161" i="54" l="1"/>
  <c r="E157" i="61"/>
  <c r="E158" i="61"/>
  <c r="E162" i="54"/>
  <c r="I161" i="54"/>
  <c r="I157" i="61"/>
  <c r="E160" i="54"/>
  <c r="E156" i="61"/>
  <c r="I36" i="67"/>
  <c r="B2" i="65"/>
  <c r="C2" i="68"/>
  <c r="C87" i="66"/>
  <c r="C56" i="68"/>
  <c r="C2" i="66"/>
  <c r="B3" i="65"/>
  <c r="C57" i="68"/>
  <c r="C3" i="66"/>
  <c r="C88" i="66"/>
  <c r="C3" i="68"/>
  <c r="B4" i="65"/>
  <c r="C58" i="68"/>
  <c r="C4" i="66"/>
  <c r="C4" i="68"/>
  <c r="C89" i="66"/>
  <c r="C3" i="65"/>
  <c r="E57" i="68"/>
  <c r="B20" i="64"/>
  <c r="B21" i="64"/>
  <c r="A21" i="64"/>
  <c r="B18" i="64"/>
  <c r="A26" i="64"/>
  <c r="B3" i="64"/>
  <c r="B37" i="64"/>
  <c r="B2" i="64"/>
  <c r="B36" i="64"/>
  <c r="B4" i="64"/>
  <c r="B38" i="64"/>
  <c r="C3" i="64"/>
  <c r="C37" i="64"/>
  <c r="D37" i="15"/>
  <c r="M37" i="15" s="1"/>
  <c r="D47" i="15"/>
  <c r="D26" i="16"/>
  <c r="P26" i="16" s="1"/>
  <c r="W26" i="16" s="1"/>
  <c r="D42" i="15"/>
  <c r="M42" i="15" s="1"/>
  <c r="D32" i="15"/>
  <c r="P32" i="15" s="1"/>
  <c r="W32" i="15" s="1"/>
  <c r="E5" i="62"/>
  <c r="E46" i="62"/>
  <c r="E3" i="62"/>
  <c r="E44" i="62"/>
  <c r="E4" i="62"/>
  <c r="E45" i="62"/>
  <c r="I4" i="62"/>
  <c r="I45" i="62"/>
  <c r="I122" i="54"/>
  <c r="I119" i="61"/>
  <c r="E122" i="54"/>
  <c r="E119" i="61"/>
  <c r="E118" i="61"/>
  <c r="E121" i="54"/>
  <c r="J37" i="15"/>
  <c r="I120" i="54"/>
  <c r="J37" i="16"/>
  <c r="I117" i="61"/>
  <c r="E123" i="54"/>
  <c r="E120" i="61"/>
  <c r="D4" i="47"/>
  <c r="G3" i="20"/>
  <c r="E3" i="60"/>
  <c r="I81" i="61"/>
  <c r="E60" i="60"/>
  <c r="I43" i="61"/>
  <c r="I3" i="61"/>
  <c r="E117" i="60"/>
  <c r="C117" i="60"/>
  <c r="C3" i="60"/>
  <c r="E81" i="61"/>
  <c r="D3" i="20"/>
  <c r="E3" i="61"/>
  <c r="B3" i="8"/>
  <c r="E43" i="61"/>
  <c r="C60" i="60"/>
  <c r="E42" i="61"/>
  <c r="E80" i="61"/>
  <c r="C116" i="60"/>
  <c r="C2" i="60"/>
  <c r="C59" i="60"/>
  <c r="E2" i="61"/>
  <c r="D2" i="20"/>
  <c r="C61" i="60"/>
  <c r="E82" i="61"/>
  <c r="E4" i="61"/>
  <c r="D4" i="20"/>
  <c r="E44" i="61"/>
  <c r="C118" i="60"/>
  <c r="B4" i="8"/>
  <c r="C4" i="60"/>
  <c r="E4" i="54"/>
  <c r="C118" i="55"/>
  <c r="C4" i="57"/>
  <c r="C4" i="59"/>
  <c r="C4" i="55"/>
  <c r="C61" i="55"/>
  <c r="E60" i="55"/>
  <c r="E3" i="59"/>
  <c r="E3" i="57"/>
  <c r="I3" i="54"/>
  <c r="E3" i="55"/>
  <c r="E117" i="55"/>
  <c r="K47" i="15"/>
  <c r="Q47" i="15" s="1"/>
  <c r="C3" i="59"/>
  <c r="C60" i="55"/>
  <c r="E3" i="54"/>
  <c r="C117" i="55"/>
  <c r="C3" i="55"/>
  <c r="C3" i="57"/>
  <c r="C2" i="57"/>
  <c r="C2" i="55"/>
  <c r="E2" i="54"/>
  <c r="C2" i="59"/>
  <c r="C59" i="55"/>
  <c r="C116" i="55"/>
  <c r="I82" i="54"/>
  <c r="I3" i="58"/>
  <c r="I43" i="54"/>
  <c r="I3" i="56"/>
  <c r="J28" i="16"/>
  <c r="R28" i="16"/>
  <c r="L47" i="16"/>
  <c r="R47" i="16" s="1"/>
  <c r="U32" i="16"/>
  <c r="C32" i="16"/>
  <c r="O26" i="16"/>
  <c r="R27" i="16"/>
  <c r="E3" i="56"/>
  <c r="E82" i="54"/>
  <c r="E43" i="54"/>
  <c r="E3" i="58"/>
  <c r="E2" i="58"/>
  <c r="E2" i="56"/>
  <c r="E81" i="54"/>
  <c r="E42" i="54"/>
  <c r="S32" i="16"/>
  <c r="K47" i="16"/>
  <c r="Q47" i="16" s="1"/>
  <c r="J47" i="16"/>
  <c r="P47" i="16" s="1"/>
  <c r="J49" i="16"/>
  <c r="P49" i="16" s="1"/>
  <c r="E83" i="54"/>
  <c r="E4" i="56"/>
  <c r="E44" i="54"/>
  <c r="E4" i="58"/>
  <c r="J47" i="15"/>
  <c r="P47" i="15" s="1"/>
  <c r="J49" i="15"/>
  <c r="P49" i="15" s="1"/>
  <c r="U32" i="15"/>
  <c r="L47" i="15"/>
  <c r="R47" i="15" s="1"/>
  <c r="J27" i="15"/>
  <c r="R27" i="15" s="1"/>
  <c r="J33" i="15"/>
  <c r="J38" i="15" s="1"/>
  <c r="J43" i="15" s="1"/>
  <c r="J28" i="15"/>
  <c r="R28" i="15"/>
  <c r="J26" i="15"/>
  <c r="R26" i="15" s="1"/>
  <c r="C32" i="15"/>
  <c r="O26" i="15"/>
  <c r="C45" i="6"/>
  <c r="C44" i="6"/>
  <c r="B37" i="16"/>
  <c r="B32" i="16"/>
  <c r="D19" i="47"/>
  <c r="B19" i="47"/>
  <c r="A19" i="47"/>
  <c r="D18" i="47"/>
  <c r="B18" i="47"/>
  <c r="A18" i="47"/>
  <c r="D17" i="47"/>
  <c r="B17" i="47"/>
  <c r="A17" i="47"/>
  <c r="D16" i="47"/>
  <c r="B16" i="47"/>
  <c r="A16" i="47"/>
  <c r="D15" i="47"/>
  <c r="B15" i="47"/>
  <c r="A15" i="47"/>
  <c r="D14" i="47"/>
  <c r="B14" i="47"/>
  <c r="A14" i="47"/>
  <c r="D13" i="47"/>
  <c r="B13" i="47"/>
  <c r="A13" i="47"/>
  <c r="D12" i="47"/>
  <c r="B12" i="47"/>
  <c r="A12" i="47"/>
  <c r="D11" i="47"/>
  <c r="B11" i="47"/>
  <c r="A11" i="47"/>
  <c r="D10" i="47"/>
  <c r="B10" i="47"/>
  <c r="A10" i="47"/>
  <c r="D9" i="47"/>
  <c r="B9" i="47"/>
  <c r="A9" i="47"/>
  <c r="D8" i="47"/>
  <c r="B8" i="47"/>
  <c r="A8" i="47"/>
  <c r="D6" i="47"/>
  <c r="B6" i="47"/>
  <c r="B21" i="47"/>
  <c r="G2" i="47"/>
  <c r="B1" i="47"/>
  <c r="D42" i="44"/>
  <c r="C42" i="44"/>
  <c r="B42" i="44"/>
  <c r="E42" i="44" s="1"/>
  <c r="A42" i="44"/>
  <c r="D41" i="44"/>
  <c r="C41" i="44"/>
  <c r="B41" i="44"/>
  <c r="A41" i="44"/>
  <c r="D40" i="44"/>
  <c r="C40" i="44"/>
  <c r="B40" i="44"/>
  <c r="A40" i="44"/>
  <c r="C3" i="48" s="1"/>
  <c r="B35" i="44"/>
  <c r="C16" i="44"/>
  <c r="C19" i="44" s="1"/>
  <c r="C15" i="44"/>
  <c r="A6" i="44"/>
  <c r="B6" i="44" s="1"/>
  <c r="B5" i="44"/>
  <c r="C4" i="44"/>
  <c r="C9" i="44" s="1"/>
  <c r="C10" i="44" s="1"/>
  <c r="C11" i="44" s="1"/>
  <c r="B4" i="44"/>
  <c r="B9" i="44" s="1"/>
  <c r="B10" i="44" s="1"/>
  <c r="B11" i="44" s="1"/>
  <c r="B44" i="6"/>
  <c r="E41" i="44" l="1"/>
  <c r="D32" i="16"/>
  <c r="N47" i="15"/>
  <c r="T47" i="15" s="1"/>
  <c r="B70" i="16"/>
  <c r="B17" i="44"/>
  <c r="C17" i="44" s="1"/>
  <c r="B42" i="16"/>
  <c r="K37" i="16"/>
  <c r="C37" i="16"/>
  <c r="O32" i="16"/>
  <c r="M47" i="16" s="1"/>
  <c r="S47" i="16" s="1"/>
  <c r="D37" i="16"/>
  <c r="P32" i="16"/>
  <c r="R33" i="16"/>
  <c r="J48" i="16"/>
  <c r="P48" i="16" s="1"/>
  <c r="R33" i="15"/>
  <c r="J48" i="15"/>
  <c r="P48" i="15" s="1"/>
  <c r="C37" i="15"/>
  <c r="O32" i="15"/>
  <c r="M47" i="15" s="1"/>
  <c r="S47" i="15" s="1"/>
  <c r="B69" i="16"/>
  <c r="B78" i="15"/>
  <c r="B79" i="15"/>
  <c r="A18" i="20"/>
  <c r="C6" i="48"/>
  <c r="C8" i="48"/>
  <c r="C7" i="48"/>
  <c r="D46" i="44"/>
  <c r="D5" i="48" s="1"/>
  <c r="D11" i="48" s="1"/>
  <c r="D3" i="48"/>
  <c r="D47" i="44"/>
  <c r="E3" i="48"/>
  <c r="E11" i="48" s="1"/>
  <c r="E40" i="44"/>
  <c r="A47" i="44"/>
  <c r="A45" i="44"/>
  <c r="B45" i="44" s="1"/>
  <c r="C45" i="44" s="1"/>
  <c r="D45" i="44" s="1"/>
  <c r="C5" i="48" s="1"/>
  <c r="A17" i="23"/>
  <c r="A17" i="22"/>
  <c r="A113" i="6"/>
  <c r="A46" i="44"/>
  <c r="B46" i="44"/>
  <c r="B47" i="44"/>
  <c r="B74" i="16" l="1"/>
  <c r="B88" i="6" s="1"/>
  <c r="C42" i="15"/>
  <c r="L37" i="15"/>
  <c r="D42" i="16"/>
  <c r="M37" i="16"/>
  <c r="C42" i="16"/>
  <c r="L37" i="16"/>
  <c r="B47" i="16"/>
  <c r="K42" i="16"/>
  <c r="N47" i="16"/>
  <c r="T47" i="16" s="1"/>
  <c r="W32" i="16"/>
  <c r="C4" i="48"/>
  <c r="C8" i="44"/>
  <c r="B71" i="16"/>
  <c r="B83" i="15"/>
  <c r="B33" i="6" s="1"/>
  <c r="C47" i="44"/>
  <c r="E8" i="48"/>
  <c r="E7" i="48"/>
  <c r="E5" i="48"/>
  <c r="E6" i="48"/>
  <c r="E4" i="48"/>
  <c r="C46" i="44"/>
  <c r="D7" i="48"/>
  <c r="D4" i="48"/>
  <c r="D8" i="48"/>
  <c r="D6" i="48"/>
  <c r="C14" i="44"/>
  <c r="C18" i="44" s="1"/>
  <c r="C20" i="44" s="1"/>
  <c r="C21" i="44" s="1"/>
  <c r="C25" i="44"/>
  <c r="C26" i="44" s="1"/>
  <c r="C47" i="16" l="1"/>
  <c r="L42" i="16"/>
  <c r="D47" i="16"/>
  <c r="M42" i="16"/>
  <c r="C47" i="15"/>
  <c r="L42" i="15"/>
  <c r="B75" i="16"/>
  <c r="A54" i="21"/>
  <c r="A53" i="21"/>
  <c r="G37" i="63" l="1"/>
  <c r="C37" i="63"/>
  <c r="C3" i="43"/>
  <c r="D3" i="43"/>
  <c r="B3" i="43"/>
  <c r="D7" i="43"/>
  <c r="C7" i="43"/>
  <c r="B7" i="43"/>
  <c r="B13" i="6"/>
  <c r="B81" i="15" s="1"/>
  <c r="C52" i="21"/>
  <c r="B77" i="6" s="1"/>
  <c r="B52" i="21"/>
  <c r="B22" i="6" s="1"/>
  <c r="B23" i="6"/>
  <c r="B78" i="6"/>
  <c r="G113" i="21"/>
  <c r="B8" i="37" s="1"/>
  <c r="D13" i="42"/>
  <c r="E13" i="42"/>
  <c r="C13" i="42"/>
  <c r="H152" i="21"/>
  <c r="E6" i="42"/>
  <c r="A150" i="21"/>
  <c r="C154" i="21" s="1"/>
  <c r="A151" i="21"/>
  <c r="F154" i="21" s="1"/>
  <c r="A149" i="21"/>
  <c r="A154" i="21" s="1"/>
  <c r="G8" i="40"/>
  <c r="G9" i="40"/>
  <c r="G10" i="40"/>
  <c r="G11" i="40" s="1"/>
  <c r="G10" i="39"/>
  <c r="G11" i="39" s="1"/>
  <c r="G9" i="39"/>
  <c r="G8" i="39"/>
  <c r="B72" i="6"/>
  <c r="B70" i="6"/>
  <c r="B17" i="6"/>
  <c r="B33" i="16"/>
  <c r="B21" i="6"/>
  <c r="C35" i="38"/>
  <c r="C33" i="38"/>
  <c r="B76" i="6"/>
  <c r="B69" i="6"/>
  <c r="B61" i="6"/>
  <c r="B62" i="6"/>
  <c r="C3" i="1" s="1"/>
  <c r="B65" i="6"/>
  <c r="A79" i="50" s="1"/>
  <c r="B67" i="6"/>
  <c r="B68" i="6"/>
  <c r="B72" i="16" s="1"/>
  <c r="B73" i="16" s="1"/>
  <c r="B73" i="6"/>
  <c r="B74" i="6"/>
  <c r="B75" i="6"/>
  <c r="B99" i="6"/>
  <c r="B127" i="6"/>
  <c r="P32" i="20" s="1"/>
  <c r="A114" i="6"/>
  <c r="A115" i="6" s="1"/>
  <c r="B117" i="6"/>
  <c r="P21" i="22" s="1"/>
  <c r="A124" i="6"/>
  <c r="A137" i="6" s="1"/>
  <c r="A138" i="6" s="1"/>
  <c r="A139" i="6" s="1"/>
  <c r="E61" i="40"/>
  <c r="E57" i="40"/>
  <c r="E61" i="39"/>
  <c r="E57" i="39"/>
  <c r="C24" i="38"/>
  <c r="C23" i="38"/>
  <c r="C22" i="38"/>
  <c r="C21" i="38"/>
  <c r="C12" i="38"/>
  <c r="C13" i="38" s="1"/>
  <c r="C9" i="38"/>
  <c r="B6" i="38"/>
  <c r="C60" i="21"/>
  <c r="B60" i="21"/>
  <c r="I128" i="21"/>
  <c r="I127" i="21"/>
  <c r="I126" i="21"/>
  <c r="D22" i="37"/>
  <c r="B22" i="37"/>
  <c r="A22" i="37"/>
  <c r="D21" i="37"/>
  <c r="B21" i="37"/>
  <c r="A21" i="37"/>
  <c r="D20" i="37"/>
  <c r="B20" i="37"/>
  <c r="A20" i="37"/>
  <c r="D19" i="37"/>
  <c r="B19" i="37"/>
  <c r="A19" i="37"/>
  <c r="D18" i="37"/>
  <c r="B18" i="37"/>
  <c r="A18" i="37"/>
  <c r="D17" i="37"/>
  <c r="B17" i="37"/>
  <c r="A17" i="37"/>
  <c r="D16" i="37"/>
  <c r="B16" i="37"/>
  <c r="A16" i="37"/>
  <c r="D15" i="37"/>
  <c r="B15" i="37"/>
  <c r="A15" i="37"/>
  <c r="D14" i="37"/>
  <c r="B14" i="37"/>
  <c r="A14" i="37"/>
  <c r="D13" i="37"/>
  <c r="B13" i="37"/>
  <c r="A13" i="37"/>
  <c r="D12" i="37"/>
  <c r="B12" i="37"/>
  <c r="A12" i="37"/>
  <c r="C12" i="37" s="1"/>
  <c r="D11" i="37"/>
  <c r="B11" i="37"/>
  <c r="D9" i="37"/>
  <c r="B9" i="37"/>
  <c r="D139" i="21"/>
  <c r="D154" i="37" s="1"/>
  <c r="C154" i="37" s="1"/>
  <c r="D140" i="21"/>
  <c r="D203" i="37" s="1"/>
  <c r="C203" i="37" s="1"/>
  <c r="D141" i="21"/>
  <c r="D252" i="37" s="1"/>
  <c r="C252" i="37" s="1"/>
  <c r="D138" i="21"/>
  <c r="D105" i="37" s="1"/>
  <c r="C105" i="37" s="1"/>
  <c r="D137" i="21"/>
  <c r="D58" i="37" s="1"/>
  <c r="C58" i="37" s="1"/>
  <c r="B10" i="32"/>
  <c r="B48" i="32" s="1"/>
  <c r="B11" i="32"/>
  <c r="B47" i="32" s="1"/>
  <c r="B12" i="32"/>
  <c r="B13" i="32"/>
  <c r="B45" i="32" s="1"/>
  <c r="B14" i="32"/>
  <c r="B44" i="32" s="1"/>
  <c r="B15" i="32"/>
  <c r="B43" i="32" s="1"/>
  <c r="B16" i="32"/>
  <c r="C16" i="32" s="1"/>
  <c r="C42" i="32" s="1"/>
  <c r="B17" i="32"/>
  <c r="B18" i="32"/>
  <c r="C18" i="32" s="1"/>
  <c r="C40" i="32" s="1"/>
  <c r="B19" i="32"/>
  <c r="B20" i="32"/>
  <c r="C20" i="32" s="1"/>
  <c r="C38" i="32" s="1"/>
  <c r="B9" i="32"/>
  <c r="B49" i="32" s="1"/>
  <c r="B10" i="33"/>
  <c r="B48" i="33" s="1"/>
  <c r="B11" i="33"/>
  <c r="B47" i="33" s="1"/>
  <c r="B12" i="33"/>
  <c r="B13" i="33"/>
  <c r="C13" i="33" s="1"/>
  <c r="C45" i="33" s="1"/>
  <c r="B14" i="33"/>
  <c r="B15" i="33"/>
  <c r="C15" i="33" s="1"/>
  <c r="C43" i="33" s="1"/>
  <c r="B16" i="33"/>
  <c r="B42" i="33" s="1"/>
  <c r="B17" i="33"/>
  <c r="C17" i="33" s="1"/>
  <c r="C41" i="33" s="1"/>
  <c r="B18" i="33"/>
  <c r="C18" i="33" s="1"/>
  <c r="C40" i="33" s="1"/>
  <c r="B19" i="33"/>
  <c r="B39" i="33" s="1"/>
  <c r="B20" i="33"/>
  <c r="C20" i="33" s="1"/>
  <c r="C38" i="33" s="1"/>
  <c r="B9" i="33"/>
  <c r="B49" i="33" s="1"/>
  <c r="B65" i="32"/>
  <c r="A52" i="32"/>
  <c r="B50" i="32"/>
  <c r="A50" i="32"/>
  <c r="C23" i="32"/>
  <c r="C65" i="32"/>
  <c r="A23" i="32"/>
  <c r="A65" i="32"/>
  <c r="C22" i="32"/>
  <c r="B22" i="32"/>
  <c r="A20" i="32"/>
  <c r="A19" i="32"/>
  <c r="A34" i="32" s="1"/>
  <c r="A54" i="32" s="1"/>
  <c r="A18" i="32"/>
  <c r="A40" i="32" s="1"/>
  <c r="A17" i="32"/>
  <c r="A41" i="32" s="1"/>
  <c r="A16" i="32"/>
  <c r="A31" i="32" s="1"/>
  <c r="A57" i="32" s="1"/>
  <c r="A15" i="32"/>
  <c r="A43" i="32" s="1"/>
  <c r="A14" i="32"/>
  <c r="A44" i="32" s="1"/>
  <c r="A13" i="32"/>
  <c r="A28" i="32" s="1"/>
  <c r="A60" i="32" s="1"/>
  <c r="A12" i="32"/>
  <c r="A27" i="32" s="1"/>
  <c r="A61" i="32" s="1"/>
  <c r="A11" i="32"/>
  <c r="A47" i="32" s="1"/>
  <c r="A10" i="32"/>
  <c r="A48" i="32" s="1"/>
  <c r="A9" i="32"/>
  <c r="A49" i="32" s="1"/>
  <c r="C8" i="32"/>
  <c r="C50" i="32"/>
  <c r="B65" i="33"/>
  <c r="A52" i="33"/>
  <c r="B50" i="33"/>
  <c r="A50" i="33"/>
  <c r="C23" i="33"/>
  <c r="C65" i="33"/>
  <c r="A23" i="33"/>
  <c r="A65" i="33"/>
  <c r="C22" i="33"/>
  <c r="B22" i="33"/>
  <c r="A20" i="33"/>
  <c r="A35" i="33" s="1"/>
  <c r="A53" i="33" s="1"/>
  <c r="A19" i="33"/>
  <c r="A39" i="33" s="1"/>
  <c r="A18" i="33"/>
  <c r="A33" i="33" s="1"/>
  <c r="A55" i="33" s="1"/>
  <c r="A17" i="33"/>
  <c r="A41" i="33" s="1"/>
  <c r="A16" i="33"/>
  <c r="A15" i="33"/>
  <c r="A43" i="33" s="1"/>
  <c r="A14" i="33"/>
  <c r="A29" i="33" s="1"/>
  <c r="A59" i="33" s="1"/>
  <c r="A13" i="33"/>
  <c r="A45" i="33" s="1"/>
  <c r="A12" i="33"/>
  <c r="A46" i="33" s="1"/>
  <c r="A11" i="33"/>
  <c r="A26" i="33" s="1"/>
  <c r="A62" i="33" s="1"/>
  <c r="A10" i="33"/>
  <c r="A48" i="33" s="1"/>
  <c r="A9" i="33"/>
  <c r="A24" i="33" s="1"/>
  <c r="A64" i="33" s="1"/>
  <c r="C8" i="33"/>
  <c r="C50" i="33"/>
  <c r="B28" i="28"/>
  <c r="C28" i="28" s="1"/>
  <c r="C60" i="28" s="1"/>
  <c r="B29" i="28"/>
  <c r="B59" i="28" s="1"/>
  <c r="B30" i="28"/>
  <c r="C30" i="28" s="1"/>
  <c r="C58" i="28" s="1"/>
  <c r="B10" i="30"/>
  <c r="C10" i="30" s="1"/>
  <c r="C48" i="30" s="1"/>
  <c r="B11" i="30"/>
  <c r="B47" i="30" s="1"/>
  <c r="B12" i="30"/>
  <c r="B46" i="30" s="1"/>
  <c r="B13" i="30"/>
  <c r="B45" i="30" s="1"/>
  <c r="B14" i="30"/>
  <c r="C14" i="30" s="1"/>
  <c r="C44" i="30" s="1"/>
  <c r="B15" i="30"/>
  <c r="B16" i="30"/>
  <c r="B42" i="30" s="1"/>
  <c r="B17" i="30"/>
  <c r="B41" i="30" s="1"/>
  <c r="B18" i="30"/>
  <c r="C18" i="30" s="1"/>
  <c r="C40" i="30" s="1"/>
  <c r="B19" i="30"/>
  <c r="B39" i="30" s="1"/>
  <c r="B20" i="30"/>
  <c r="C20" i="30" s="1"/>
  <c r="C38" i="30" s="1"/>
  <c r="B9" i="30"/>
  <c r="B49" i="30" s="1"/>
  <c r="B10" i="28"/>
  <c r="B48" i="28" s="1"/>
  <c r="B11" i="28"/>
  <c r="B47" i="28" s="1"/>
  <c r="B12" i="28"/>
  <c r="C12" i="28" s="1"/>
  <c r="C46" i="28" s="1"/>
  <c r="B13" i="28"/>
  <c r="C13" i="28" s="1"/>
  <c r="C45" i="28" s="1"/>
  <c r="B14" i="28"/>
  <c r="B44" i="28" s="1"/>
  <c r="B15" i="28"/>
  <c r="C15" i="28" s="1"/>
  <c r="C43" i="28" s="1"/>
  <c r="B16" i="28"/>
  <c r="C16" i="28" s="1"/>
  <c r="C42" i="28" s="1"/>
  <c r="B17" i="28"/>
  <c r="B18" i="28"/>
  <c r="C18" i="28" s="1"/>
  <c r="C40" i="28" s="1"/>
  <c r="B19" i="28"/>
  <c r="B39" i="28" s="1"/>
  <c r="B20" i="28"/>
  <c r="C20" i="28" s="1"/>
  <c r="C38" i="28" s="1"/>
  <c r="B9" i="28"/>
  <c r="C9" i="28" s="1"/>
  <c r="C49" i="28" s="1"/>
  <c r="B65" i="30"/>
  <c r="A65" i="30"/>
  <c r="B50" i="30"/>
  <c r="A50" i="30"/>
  <c r="C23" i="30"/>
  <c r="C65" i="30"/>
  <c r="A23" i="30"/>
  <c r="C22" i="30"/>
  <c r="C37" i="30" s="1"/>
  <c r="C52" i="30" s="1"/>
  <c r="B22" i="30"/>
  <c r="B37" i="30" s="1"/>
  <c r="B52" i="30" s="1"/>
  <c r="A20" i="30"/>
  <c r="A35" i="30" s="1"/>
  <c r="A53" i="30" s="1"/>
  <c r="A19" i="30"/>
  <c r="A39" i="30" s="1"/>
  <c r="A18" i="30"/>
  <c r="A40" i="30" s="1"/>
  <c r="A17" i="30"/>
  <c r="A41" i="30" s="1"/>
  <c r="A16" i="30"/>
  <c r="A15" i="30"/>
  <c r="A43" i="30" s="1"/>
  <c r="A14" i="30"/>
  <c r="A13" i="30"/>
  <c r="A28" i="30" s="1"/>
  <c r="A60" i="30" s="1"/>
  <c r="A12" i="30"/>
  <c r="A46" i="30" s="1"/>
  <c r="A11" i="30"/>
  <c r="A47" i="30" s="1"/>
  <c r="A10" i="30"/>
  <c r="A48" i="30" s="1"/>
  <c r="A9" i="30"/>
  <c r="A24" i="30" s="1"/>
  <c r="A64" i="30" s="1"/>
  <c r="C8" i="30"/>
  <c r="C50" i="30"/>
  <c r="B65" i="28"/>
  <c r="A65" i="28"/>
  <c r="A52" i="28"/>
  <c r="B50" i="28"/>
  <c r="A50" i="28"/>
  <c r="C23" i="28"/>
  <c r="C65" i="28"/>
  <c r="A23" i="28"/>
  <c r="C22" i="28"/>
  <c r="B22" i="28"/>
  <c r="A20" i="28"/>
  <c r="A35" i="28" s="1"/>
  <c r="A53" i="28" s="1"/>
  <c r="A19" i="28"/>
  <c r="A39" i="28" s="1"/>
  <c r="A18" i="28"/>
  <c r="A17" i="28"/>
  <c r="A41" i="28" s="1"/>
  <c r="A16" i="28"/>
  <c r="A15" i="28"/>
  <c r="A43" i="28" s="1"/>
  <c r="A14" i="28"/>
  <c r="A29" i="28" s="1"/>
  <c r="A59" i="28" s="1"/>
  <c r="A13" i="28"/>
  <c r="A12" i="28"/>
  <c r="A46" i="28" s="1"/>
  <c r="A11" i="28"/>
  <c r="A10" i="28"/>
  <c r="A25" i="28" s="1"/>
  <c r="A63" i="28" s="1"/>
  <c r="A9" i="28"/>
  <c r="A24" i="28" s="1"/>
  <c r="A64" i="28" s="1"/>
  <c r="C8" i="28"/>
  <c r="C50" i="28"/>
  <c r="B28" i="27"/>
  <c r="C28" i="27" s="1"/>
  <c r="C60" i="27" s="1"/>
  <c r="B29" i="27"/>
  <c r="C29" i="27" s="1"/>
  <c r="C59" i="27" s="1"/>
  <c r="B30" i="27"/>
  <c r="C30" i="27" s="1"/>
  <c r="C58" i="27" s="1"/>
  <c r="A12" i="27"/>
  <c r="A46" i="27" s="1"/>
  <c r="B12" i="27"/>
  <c r="B46" i="27" s="1"/>
  <c r="A13" i="27"/>
  <c r="A28" i="27" s="1"/>
  <c r="A60" i="27" s="1"/>
  <c r="B13" i="27"/>
  <c r="B45" i="27" s="1"/>
  <c r="A14" i="27"/>
  <c r="A44" i="27" s="1"/>
  <c r="B14" i="27"/>
  <c r="A15" i="27"/>
  <c r="A30" i="27" s="1"/>
  <c r="A58" i="27" s="1"/>
  <c r="B15" i="27"/>
  <c r="B43" i="27" s="1"/>
  <c r="H123" i="21"/>
  <c r="I123" i="21"/>
  <c r="H124" i="21"/>
  <c r="D110" i="37" s="1"/>
  <c r="I124" i="21"/>
  <c r="H125" i="21"/>
  <c r="I125" i="21"/>
  <c r="H129" i="21"/>
  <c r="D115" i="37" s="1"/>
  <c r="I129" i="21"/>
  <c r="H130" i="21"/>
  <c r="D116" i="37" s="1"/>
  <c r="I130" i="21"/>
  <c r="H131" i="21"/>
  <c r="D117" i="37" s="1"/>
  <c r="I131" i="21"/>
  <c r="H132" i="21"/>
  <c r="D118" i="37" s="1"/>
  <c r="I132" i="21"/>
  <c r="H133" i="21"/>
  <c r="I133" i="21"/>
  <c r="I122" i="21"/>
  <c r="H122" i="21"/>
  <c r="D108" i="37" s="1"/>
  <c r="B34" i="27"/>
  <c r="C34" i="27" s="1"/>
  <c r="C54" i="27" s="1"/>
  <c r="B35" i="27"/>
  <c r="B53" i="27" s="1"/>
  <c r="B19" i="27"/>
  <c r="C19" i="27" s="1"/>
  <c r="C39" i="27" s="1"/>
  <c r="B20" i="27"/>
  <c r="B38" i="27" s="1"/>
  <c r="A19" i="27"/>
  <c r="A34" i="27" s="1"/>
  <c r="A54" i="27" s="1"/>
  <c r="A20" i="27"/>
  <c r="A38" i="27" s="1"/>
  <c r="B25" i="27"/>
  <c r="B63" i="27" s="1"/>
  <c r="B26" i="27"/>
  <c r="B62" i="27" s="1"/>
  <c r="B27" i="27"/>
  <c r="B61" i="27" s="1"/>
  <c r="B31" i="27"/>
  <c r="B57" i="27" s="1"/>
  <c r="B32" i="27"/>
  <c r="C32" i="27" s="1"/>
  <c r="C56" i="27" s="1"/>
  <c r="B33" i="27"/>
  <c r="B55" i="27" s="1"/>
  <c r="B24" i="27"/>
  <c r="B10" i="27"/>
  <c r="C10" i="27" s="1"/>
  <c r="C48" i="27" s="1"/>
  <c r="B11" i="27"/>
  <c r="C11" i="27" s="1"/>
  <c r="C47" i="27" s="1"/>
  <c r="B16" i="27"/>
  <c r="C16" i="27" s="1"/>
  <c r="C42" i="27" s="1"/>
  <c r="B17" i="27"/>
  <c r="C17" i="27" s="1"/>
  <c r="C41" i="27" s="1"/>
  <c r="B18" i="27"/>
  <c r="B40" i="27" s="1"/>
  <c r="B9" i="27"/>
  <c r="B49" i="27" s="1"/>
  <c r="A10" i="27"/>
  <c r="A48" i="27" s="1"/>
  <c r="A11" i="27"/>
  <c r="A47" i="27" s="1"/>
  <c r="A16" i="27"/>
  <c r="A42" i="27" s="1"/>
  <c r="A17" i="27"/>
  <c r="A32" i="27" s="1"/>
  <c r="A56" i="27" s="1"/>
  <c r="A18" i="27"/>
  <c r="A40" i="27" s="1"/>
  <c r="A9" i="27"/>
  <c r="A24" i="27" s="1"/>
  <c r="A64" i="27" s="1"/>
  <c r="C8" i="27"/>
  <c r="C50" i="27"/>
  <c r="B1" i="27"/>
  <c r="A52" i="27"/>
  <c r="B65" i="27"/>
  <c r="C22" i="27"/>
  <c r="B22" i="27"/>
  <c r="A23" i="27"/>
  <c r="A65" i="27"/>
  <c r="C23" i="27"/>
  <c r="C65" i="27"/>
  <c r="B50" i="27"/>
  <c r="C112" i="21"/>
  <c r="D112" i="21"/>
  <c r="B1" i="30" s="1"/>
  <c r="F112" i="21"/>
  <c r="E112" i="21"/>
  <c r="B1" i="33" s="1"/>
  <c r="B112" i="21"/>
  <c r="A28" i="23"/>
  <c r="P20" i="23"/>
  <c r="A18" i="23"/>
  <c r="A29" i="23" s="1"/>
  <c r="G11" i="23"/>
  <c r="A28" i="22"/>
  <c r="P20" i="22"/>
  <c r="A18" i="22"/>
  <c r="A29" i="22" s="1"/>
  <c r="G11" i="22"/>
  <c r="B19" i="6"/>
  <c r="B38" i="6"/>
  <c r="B20" i="6"/>
  <c r="B18" i="6"/>
  <c r="B14" i="6"/>
  <c r="B22" i="15" s="1"/>
  <c r="B12" i="6"/>
  <c r="B10" i="6"/>
  <c r="A78" i="50" s="1"/>
  <c r="A29" i="20"/>
  <c r="A19" i="20"/>
  <c r="A30" i="20" s="1"/>
  <c r="C2" i="1"/>
  <c r="A7" i="1"/>
  <c r="A18" i="1" s="1"/>
  <c r="B7" i="1"/>
  <c r="B9" i="1"/>
  <c r="B17" i="1"/>
  <c r="B19" i="2"/>
  <c r="B20" i="2" s="1"/>
  <c r="B21" i="2" s="1"/>
  <c r="B22" i="2" s="1"/>
  <c r="B23" i="2" s="1"/>
  <c r="B24" i="2" s="1"/>
  <c r="B25" i="2" s="1"/>
  <c r="B26" i="2" s="1"/>
  <c r="B27" i="2" s="1"/>
  <c r="B28" i="2" s="1"/>
  <c r="B29" i="2"/>
  <c r="B30" i="2" s="1"/>
  <c r="B31" i="2" s="1"/>
  <c r="B32" i="2" s="1"/>
  <c r="B33" i="2" s="1"/>
  <c r="B34" i="2" s="1"/>
  <c r="B35" i="2" s="1"/>
  <c r="B36" i="2" s="1"/>
  <c r="B37" i="2" s="1"/>
  <c r="B38" i="2" s="1"/>
  <c r="B39" i="2"/>
  <c r="B40" i="2"/>
  <c r="B41" i="2"/>
  <c r="B42" i="2" s="1"/>
  <c r="B43" i="2" s="1"/>
  <c r="B44" i="2" s="1"/>
  <c r="B45" i="2" s="1"/>
  <c r="B46" i="2" s="1"/>
  <c r="B47" i="2" s="1"/>
  <c r="B48" i="2" s="1"/>
  <c r="B49" i="2"/>
  <c r="B50" i="2"/>
  <c r="B51" i="2"/>
  <c r="B52" i="2"/>
  <c r="B53" i="2"/>
  <c r="B54" i="2" s="1"/>
  <c r="B55" i="2" s="1"/>
  <c r="B56" i="2" s="1"/>
  <c r="B57" i="2" s="1"/>
  <c r="B58" i="2" s="1"/>
  <c r="B59" i="2" s="1"/>
  <c r="B19" i="3"/>
  <c r="B20" i="3" s="1"/>
  <c r="B21" i="3" s="1"/>
  <c r="B22" i="3" s="1"/>
  <c r="B23" i="3" s="1"/>
  <c r="B24" i="3" s="1"/>
  <c r="B25" i="3" s="1"/>
  <c r="B26" i="3" s="1"/>
  <c r="B27" i="3" s="1"/>
  <c r="B28" i="3" s="1"/>
  <c r="B29" i="3"/>
  <c r="B30" i="3"/>
  <c r="B31" i="3"/>
  <c r="B32" i="3"/>
  <c r="B33" i="3"/>
  <c r="B34" i="3" s="1"/>
  <c r="B35" i="3" s="1"/>
  <c r="B36" i="3" s="1"/>
  <c r="B37" i="3" s="1"/>
  <c r="B38" i="3" s="1"/>
  <c r="B39" i="3"/>
  <c r="B40" i="3"/>
  <c r="B41" i="3"/>
  <c r="B42" i="3"/>
  <c r="B43" i="3"/>
  <c r="B44" i="3" s="1"/>
  <c r="B45" i="3" s="1"/>
  <c r="B46" i="3" s="1"/>
  <c r="B47" i="3" s="1"/>
  <c r="B48" i="3" s="1"/>
  <c r="B49" i="3"/>
  <c r="B50" i="3" s="1"/>
  <c r="B51" i="3" s="1"/>
  <c r="B52" i="3" s="1"/>
  <c r="B53" i="3" s="1"/>
  <c r="B54" i="3" s="1"/>
  <c r="B55" i="3" s="1"/>
  <c r="B56" i="3" s="1"/>
  <c r="B57" i="3" s="1"/>
  <c r="B58" i="3" s="1"/>
  <c r="B59" i="3" s="1"/>
  <c r="C72" i="5"/>
  <c r="B7" i="6"/>
  <c r="A6" i="9"/>
  <c r="A56" i="9" s="1"/>
  <c r="B8" i="1"/>
  <c r="B13" i="9"/>
  <c r="B63" i="9" s="1"/>
  <c r="B2" i="10" a="1"/>
  <c r="C2" i="10" s="1"/>
  <c r="B4" i="10"/>
  <c r="B2" i="11" a="1"/>
  <c r="C2" i="11" s="1"/>
  <c r="B4" i="11"/>
  <c r="B18" i="1"/>
  <c r="B20" i="1"/>
  <c r="B2" i="13" a="1"/>
  <c r="B2" i="13" s="1"/>
  <c r="B4" i="13"/>
  <c r="B2" i="14" a="1"/>
  <c r="C2" i="14" s="1"/>
  <c r="B4" i="14"/>
  <c r="B4" i="15"/>
  <c r="B54" i="15"/>
  <c r="B55" i="15" s="1"/>
  <c r="B7" i="44" s="1"/>
  <c r="B4" i="16"/>
  <c r="P21" i="20"/>
  <c r="A50" i="27"/>
  <c r="C20" i="38"/>
  <c r="D20" i="38" s="1"/>
  <c r="D14" i="44" l="1"/>
  <c r="D18" i="44" s="1"/>
  <c r="D20" i="44" s="1"/>
  <c r="C22" i="44" s="1"/>
  <c r="B61" i="21" s="1"/>
  <c r="B8" i="44"/>
  <c r="B25" i="44"/>
  <c r="B26" i="44" s="1"/>
  <c r="B80" i="15"/>
  <c r="B84" i="15" s="1"/>
  <c r="B33" i="15"/>
  <c r="K33" i="15" s="1"/>
  <c r="B43" i="15"/>
  <c r="K43" i="15" s="1"/>
  <c r="I162" i="54"/>
  <c r="I158" i="61"/>
  <c r="E4" i="68"/>
  <c r="E58" i="68"/>
  <c r="E89" i="66"/>
  <c r="E4" i="66"/>
  <c r="E62" i="9"/>
  <c r="C38" i="64"/>
  <c r="C4" i="65"/>
  <c r="I46" i="62"/>
  <c r="C4" i="64"/>
  <c r="D164" i="37"/>
  <c r="D213" i="37"/>
  <c r="D262" i="37"/>
  <c r="D209" i="37"/>
  <c r="D258" i="37"/>
  <c r="D160" i="37"/>
  <c r="D206" i="37"/>
  <c r="D255" i="37"/>
  <c r="D157" i="37"/>
  <c r="B27" i="28"/>
  <c r="C27" i="28" s="1"/>
  <c r="C61" i="28" s="1"/>
  <c r="D111" i="37"/>
  <c r="D161" i="37"/>
  <c r="D210" i="37"/>
  <c r="D259" i="37"/>
  <c r="D168" i="37"/>
  <c r="D266" i="37"/>
  <c r="D217" i="37"/>
  <c r="D208" i="37"/>
  <c r="D159" i="37"/>
  <c r="D257" i="37"/>
  <c r="D211" i="37"/>
  <c r="D162" i="37"/>
  <c r="D260" i="37"/>
  <c r="B35" i="28"/>
  <c r="B53" i="28" s="1"/>
  <c r="D119" i="37"/>
  <c r="E14" i="47"/>
  <c r="D212" i="37"/>
  <c r="D261" i="37"/>
  <c r="D163" i="37"/>
  <c r="D167" i="37"/>
  <c r="D216" i="37"/>
  <c r="D265" i="37"/>
  <c r="D158" i="37"/>
  <c r="D207" i="37"/>
  <c r="D256" i="37"/>
  <c r="B25" i="28"/>
  <c r="C25" i="28" s="1"/>
  <c r="C63" i="28" s="1"/>
  <c r="D109" i="37"/>
  <c r="D215" i="37"/>
  <c r="D264" i="37"/>
  <c r="D166" i="37"/>
  <c r="D165" i="37"/>
  <c r="D214" i="37"/>
  <c r="D263" i="37"/>
  <c r="I5" i="62"/>
  <c r="H4" i="47"/>
  <c r="B21" i="15"/>
  <c r="B40" i="40"/>
  <c r="F40" i="40" s="1"/>
  <c r="B22" i="16"/>
  <c r="I120" i="61"/>
  <c r="I123" i="54"/>
  <c r="E4" i="47"/>
  <c r="K33" i="16"/>
  <c r="S33" i="16" s="1"/>
  <c r="F34" i="16"/>
  <c r="F35" i="16" s="1"/>
  <c r="C4" i="8"/>
  <c r="G4" i="20"/>
  <c r="E61" i="60"/>
  <c r="E118" i="60"/>
  <c r="E4" i="60"/>
  <c r="I82" i="61"/>
  <c r="I4" i="61"/>
  <c r="I44" i="61"/>
  <c r="E61" i="55"/>
  <c r="E118" i="55"/>
  <c r="E4" i="59"/>
  <c r="E4" i="55"/>
  <c r="E4" i="57"/>
  <c r="I83" i="54"/>
  <c r="I4" i="54"/>
  <c r="I44" i="54"/>
  <c r="I4" i="58"/>
  <c r="I4" i="56"/>
  <c r="D9" i="38"/>
  <c r="C11" i="38"/>
  <c r="C14" i="38" s="1"/>
  <c r="C25" i="38"/>
  <c r="B43" i="16"/>
  <c r="K43" i="16" s="1"/>
  <c r="B43" i="50"/>
  <c r="B33" i="50"/>
  <c r="B52" i="39"/>
  <c r="F52" i="39" s="1"/>
  <c r="B8" i="50"/>
  <c r="B40" i="50" s="1"/>
  <c r="B7" i="50"/>
  <c r="B39" i="50" s="1"/>
  <c r="B6" i="50"/>
  <c r="B28" i="50" s="1"/>
  <c r="H23" i="47"/>
  <c r="B38" i="50"/>
  <c r="B27" i="50"/>
  <c r="G1" i="22"/>
  <c r="B3" i="49"/>
  <c r="C11" i="8"/>
  <c r="B8" i="49"/>
  <c r="D6" i="8"/>
  <c r="C3" i="49"/>
  <c r="C24" i="8"/>
  <c r="B22" i="49"/>
  <c r="B40" i="30"/>
  <c r="B100" i="6"/>
  <c r="E64" i="9" s="1"/>
  <c r="G23" i="47"/>
  <c r="E23" i="47"/>
  <c r="B34" i="30"/>
  <c r="C34" i="30" s="1"/>
  <c r="C54" i="30" s="1"/>
  <c r="E18" i="47"/>
  <c r="E16" i="47"/>
  <c r="E9" i="47"/>
  <c r="B24" i="33"/>
  <c r="B64" i="33" s="1"/>
  <c r="E8" i="47"/>
  <c r="F23" i="47"/>
  <c r="E11" i="47"/>
  <c r="D23" i="47"/>
  <c r="D21" i="47"/>
  <c r="C23" i="47" s="1"/>
  <c r="B29" i="32"/>
  <c r="C29" i="32" s="1"/>
  <c r="C59" i="32" s="1"/>
  <c r="E13" i="47"/>
  <c r="E19" i="47"/>
  <c r="B33" i="30"/>
  <c r="B55" i="30" s="1"/>
  <c r="E17" i="47"/>
  <c r="E15" i="47"/>
  <c r="E10" i="47"/>
  <c r="E12" i="47"/>
  <c r="A19" i="23"/>
  <c r="A30" i="23" s="1"/>
  <c r="A19" i="22"/>
  <c r="A30" i="22" s="1"/>
  <c r="A20" i="20"/>
  <c r="A31" i="20" s="1"/>
  <c r="A148" i="6"/>
  <c r="A160" i="6" s="1"/>
  <c r="E12" i="9"/>
  <c r="B45" i="6"/>
  <c r="E14" i="9" s="1"/>
  <c r="C13" i="32"/>
  <c r="C45" i="32" s="1"/>
  <c r="C16" i="33"/>
  <c r="C42" i="33" s="1"/>
  <c r="B48" i="30"/>
  <c r="B47" i="27"/>
  <c r="C14" i="28"/>
  <c r="C44" i="28" s="1"/>
  <c r="B32" i="28"/>
  <c r="B56" i="28" s="1"/>
  <c r="A45" i="27"/>
  <c r="B39" i="27"/>
  <c r="A28" i="33"/>
  <c r="A60" i="33" s="1"/>
  <c r="A49" i="30"/>
  <c r="A43" i="27"/>
  <c r="B56" i="27"/>
  <c r="C9" i="33"/>
  <c r="C49" i="33" s="1"/>
  <c r="B44" i="30"/>
  <c r="B28" i="33"/>
  <c r="B60" i="33" s="1"/>
  <c r="A33" i="30"/>
  <c r="A55" i="30" s="1"/>
  <c r="C19" i="33"/>
  <c r="C39" i="33" s="1"/>
  <c r="A31" i="27"/>
  <c r="A57" i="27" s="1"/>
  <c r="A27" i="27"/>
  <c r="A61" i="27" s="1"/>
  <c r="C18" i="27"/>
  <c r="C40" i="27" s="1"/>
  <c r="B38" i="32"/>
  <c r="B43" i="33"/>
  <c r="D143" i="21"/>
  <c r="D8" i="37" s="1"/>
  <c r="C8" i="37" s="1"/>
  <c r="B60" i="28"/>
  <c r="C9" i="32"/>
  <c r="C49" i="32" s="1"/>
  <c r="C10" i="32"/>
  <c r="C48" i="32" s="1"/>
  <c r="B31" i="32"/>
  <c r="B35" i="30"/>
  <c r="C35" i="30" s="1"/>
  <c r="C53" i="30" s="1"/>
  <c r="B28" i="30"/>
  <c r="B60" i="30" s="1"/>
  <c r="A25" i="33"/>
  <c r="A63" i="33" s="1"/>
  <c r="B26" i="28"/>
  <c r="B62" i="28" s="1"/>
  <c r="A29" i="32"/>
  <c r="A59" i="32" s="1"/>
  <c r="C11" i="28"/>
  <c r="C47" i="28" s="1"/>
  <c r="B42" i="32"/>
  <c r="B54" i="27"/>
  <c r="B35" i="33"/>
  <c r="C35" i="33" s="1"/>
  <c r="C53" i="33" s="1"/>
  <c r="B45" i="33"/>
  <c r="C14" i="32"/>
  <c r="C44" i="32" s="1"/>
  <c r="A27" i="33"/>
  <c r="A61" i="33" s="1"/>
  <c r="A39" i="27"/>
  <c r="C19" i="28"/>
  <c r="C39" i="28" s="1"/>
  <c r="A32" i="28"/>
  <c r="A56" i="28" s="1"/>
  <c r="B59" i="27"/>
  <c r="A38" i="28"/>
  <c r="B8" i="43"/>
  <c r="B9" i="43" s="1"/>
  <c r="B10" i="43" s="1"/>
  <c r="B11" i="43" s="1"/>
  <c r="B12" i="43" s="1"/>
  <c r="B13" i="43" s="1"/>
  <c r="B14" i="43" s="1"/>
  <c r="B15" i="43" s="1"/>
  <c r="B16" i="43" s="1"/>
  <c r="B17" i="43" s="1"/>
  <c r="B18" i="43" s="1"/>
  <c r="B19" i="43" s="1"/>
  <c r="B20" i="43" s="1"/>
  <c r="B21" i="43" s="1"/>
  <c r="B22" i="43" s="1"/>
  <c r="B23" i="43" s="1"/>
  <c r="B24" i="43" s="1"/>
  <c r="B25" i="43" s="1"/>
  <c r="B26" i="43" s="1"/>
  <c r="B25" i="30"/>
  <c r="C25" i="30" s="1"/>
  <c r="C63" i="30" s="1"/>
  <c r="A26" i="32"/>
  <c r="A62" i="32" s="1"/>
  <c r="C9" i="27"/>
  <c r="C49" i="27" s="1"/>
  <c r="A38" i="30"/>
  <c r="C17" i="30"/>
  <c r="C41" i="30" s="1"/>
  <c r="C9" i="30"/>
  <c r="C49" i="30" s="1"/>
  <c r="C25" i="27"/>
  <c r="C63" i="27" s="1"/>
  <c r="C15" i="27"/>
  <c r="C43" i="27" s="1"/>
  <c r="A39" i="32"/>
  <c r="C13" i="27"/>
  <c r="C45" i="27" s="1"/>
  <c r="B40" i="33"/>
  <c r="A27" i="30"/>
  <c r="A61" i="30" s="1"/>
  <c r="A32" i="32"/>
  <c r="A56" i="32" s="1"/>
  <c r="B42" i="28"/>
  <c r="B35" i="32"/>
  <c r="C35" i="32" s="1"/>
  <c r="C53" i="32" s="1"/>
  <c r="A42" i="32"/>
  <c r="B25" i="32"/>
  <c r="C25" i="32" s="1"/>
  <c r="C63" i="32" s="1"/>
  <c r="B34" i="32"/>
  <c r="C34" i="32" s="1"/>
  <c r="C54" i="32" s="1"/>
  <c r="B25" i="33"/>
  <c r="C25" i="33" s="1"/>
  <c r="C63" i="33" s="1"/>
  <c r="B24" i="30"/>
  <c r="C24" i="30" s="1"/>
  <c r="C64" i="30" s="1"/>
  <c r="A35" i="27"/>
  <c r="A53" i="27" s="1"/>
  <c r="B49" i="28"/>
  <c r="B38" i="30"/>
  <c r="B40" i="28"/>
  <c r="A40" i="33"/>
  <c r="B45" i="28"/>
  <c r="B32" i="33"/>
  <c r="A34" i="30"/>
  <c r="A54" i="30" s="1"/>
  <c r="B38" i="33"/>
  <c r="C26" i="27"/>
  <c r="C62" i="27" s="1"/>
  <c r="A46" i="32"/>
  <c r="C11" i="33"/>
  <c r="C47" i="33" s="1"/>
  <c r="A38" i="33"/>
  <c r="A30" i="30"/>
  <c r="A58" i="30" s="1"/>
  <c r="C12" i="30"/>
  <c r="C46" i="30" s="1"/>
  <c r="A30" i="33"/>
  <c r="A58" i="33" s="1"/>
  <c r="B32" i="32"/>
  <c r="C10" i="28"/>
  <c r="C48" i="28" s="1"/>
  <c r="A49" i="33"/>
  <c r="A24" i="32"/>
  <c r="A64" i="32" s="1"/>
  <c r="B34" i="33"/>
  <c r="C11" i="32"/>
  <c r="C47" i="32" s="1"/>
  <c r="A26" i="30"/>
  <c r="A62" i="30" s="1"/>
  <c r="A26" i="27"/>
  <c r="A62" i="27" s="1"/>
  <c r="C27" i="27"/>
  <c r="C61" i="27" s="1"/>
  <c r="A25" i="27"/>
  <c r="A63" i="27" s="1"/>
  <c r="A45" i="32"/>
  <c r="A30" i="28"/>
  <c r="A58" i="28" s="1"/>
  <c r="C16" i="30"/>
  <c r="C42" i="30" s="1"/>
  <c r="C33" i="27"/>
  <c r="C55" i="27" s="1"/>
  <c r="A48" i="28"/>
  <c r="B58" i="27"/>
  <c r="A32" i="33"/>
  <c r="A56" i="33" s="1"/>
  <c r="B31" i="30"/>
  <c r="B24" i="28"/>
  <c r="C24" i="28" s="1"/>
  <c r="C64" i="28" s="1"/>
  <c r="C10" i="33"/>
  <c r="C48" i="33" s="1"/>
  <c r="B33" i="28"/>
  <c r="C33" i="28" s="1"/>
  <c r="C55" i="28" s="1"/>
  <c r="B31" i="33"/>
  <c r="B29" i="30"/>
  <c r="C29" i="30" s="1"/>
  <c r="C59" i="30" s="1"/>
  <c r="A27" i="28"/>
  <c r="A61" i="28" s="1"/>
  <c r="B26" i="30"/>
  <c r="B62" i="30" s="1"/>
  <c r="A33" i="27"/>
  <c r="A55" i="27" s="1"/>
  <c r="A32" i="30"/>
  <c r="A56" i="30" s="1"/>
  <c r="B58" i="28"/>
  <c r="A49" i="27"/>
  <c r="B42" i="27"/>
  <c r="C13" i="30"/>
  <c r="C45" i="30" s="1"/>
  <c r="B29" i="33"/>
  <c r="B32" i="30"/>
  <c r="B60" i="27"/>
  <c r="A49" i="28"/>
  <c r="B27" i="30"/>
  <c r="B61" i="30" s="1"/>
  <c r="B26" i="32"/>
  <c r="B62" i="32" s="1"/>
  <c r="B41" i="33"/>
  <c r="D8" i="43"/>
  <c r="D9" i="43" s="1"/>
  <c r="D10" i="43" s="1"/>
  <c r="D11" i="43" s="1"/>
  <c r="D12" i="43" s="1"/>
  <c r="D13" i="43" s="1"/>
  <c r="D14" i="43" s="1"/>
  <c r="D15" i="43" s="1"/>
  <c r="D16" i="43" s="1"/>
  <c r="D17" i="43" s="1"/>
  <c r="D18" i="43" s="1"/>
  <c r="D19" i="43" s="1"/>
  <c r="D20" i="43" s="1"/>
  <c r="D21" i="43" s="1"/>
  <c r="D22" i="43" s="1"/>
  <c r="D23" i="43" s="1"/>
  <c r="D24" i="43" s="1"/>
  <c r="D25" i="43" s="1"/>
  <c r="D26" i="43" s="1"/>
  <c r="D27" i="43" s="1"/>
  <c r="D28" i="43" s="1"/>
  <c r="D29" i="43" s="1"/>
  <c r="D30" i="43" s="1"/>
  <c r="D31" i="43" s="1"/>
  <c r="D32" i="43" s="1"/>
  <c r="D33" i="43" s="1"/>
  <c r="D34" i="43" s="1"/>
  <c r="D35" i="43" s="1"/>
  <c r="D36" i="43" s="1"/>
  <c r="D37" i="43" s="1"/>
  <c r="D38" i="43" s="1"/>
  <c r="D39" i="43" s="1"/>
  <c r="D40" i="43" s="1"/>
  <c r="D41" i="43" s="1"/>
  <c r="B40" i="32"/>
  <c r="C20" i="27"/>
  <c r="C38" i="27" s="1"/>
  <c r="A41" i="27"/>
  <c r="A45" i="30"/>
  <c r="A25" i="30"/>
  <c r="A63" i="30" s="1"/>
  <c r="B41" i="27"/>
  <c r="A33" i="32"/>
  <c r="A55" i="32" s="1"/>
  <c r="C12" i="27"/>
  <c r="C46" i="27" s="1"/>
  <c r="B46" i="28"/>
  <c r="A44" i="33"/>
  <c r="A30" i="32"/>
  <c r="A58" i="32" s="1"/>
  <c r="B27" i="32"/>
  <c r="A29" i="27"/>
  <c r="A59" i="27" s="1"/>
  <c r="C15" i="32"/>
  <c r="C43" i="32" s="1"/>
  <c r="C19" i="30"/>
  <c r="C39" i="30" s="1"/>
  <c r="B38" i="28"/>
  <c r="B28" i="32"/>
  <c r="A47" i="33"/>
  <c r="A34" i="33"/>
  <c r="A54" i="33" s="1"/>
  <c r="B48" i="27"/>
  <c r="B24" i="32"/>
  <c r="B64" i="32" s="1"/>
  <c r="B33" i="33"/>
  <c r="B55" i="33" s="1"/>
  <c r="A34" i="28"/>
  <c r="A54" i="28" s="1"/>
  <c r="C29" i="28"/>
  <c r="C59" i="28" s="1"/>
  <c r="B27" i="33"/>
  <c r="B43" i="28"/>
  <c r="A25" i="32"/>
  <c r="A63" i="32" s="1"/>
  <c r="C11" i="30"/>
  <c r="C47" i="30" s="1"/>
  <c r="C8" i="43"/>
  <c r="C9" i="43" s="1"/>
  <c r="C10" i="43" s="1"/>
  <c r="C11" i="43" s="1"/>
  <c r="C12" i="43" s="1"/>
  <c r="C13" i="43" s="1"/>
  <c r="C14" i="43" s="1"/>
  <c r="C15" i="43" s="1"/>
  <c r="C16" i="43" s="1"/>
  <c r="C17" i="43" s="1"/>
  <c r="C18" i="43" s="1"/>
  <c r="C19" i="43" s="1"/>
  <c r="C20" i="43" s="1"/>
  <c r="C21" i="43" s="1"/>
  <c r="C22" i="43" s="1"/>
  <c r="C23" i="43" s="1"/>
  <c r="C24" i="43" s="1"/>
  <c r="C25" i="43" s="1"/>
  <c r="C26" i="43" s="1"/>
  <c r="C27" i="43" s="1"/>
  <c r="C28" i="43" s="1"/>
  <c r="C29" i="43" s="1"/>
  <c r="C30" i="43" s="1"/>
  <c r="C31" i="43" s="1"/>
  <c r="C32" i="43" s="1"/>
  <c r="C33" i="43" s="1"/>
  <c r="C34" i="43" s="1"/>
  <c r="C35" i="43" s="1"/>
  <c r="C36" i="43" s="1"/>
  <c r="C37" i="43" s="1"/>
  <c r="C38" i="43" s="1"/>
  <c r="C39" i="43" s="1"/>
  <c r="C40" i="43" s="1"/>
  <c r="C41" i="43" s="1"/>
  <c r="B34" i="39"/>
  <c r="F34" i="39" s="1"/>
  <c r="F150" i="21"/>
  <c r="F151" i="21"/>
  <c r="B1" i="32"/>
  <c r="A42" i="28"/>
  <c r="A31" i="28"/>
  <c r="A57" i="28" s="1"/>
  <c r="A31" i="30"/>
  <c r="A57" i="30" s="1"/>
  <c r="A42" i="30"/>
  <c r="A28" i="28"/>
  <c r="A60" i="28" s="1"/>
  <c r="A45" i="28"/>
  <c r="C12" i="33"/>
  <c r="C46" i="33" s="1"/>
  <c r="B46" i="33"/>
  <c r="A26" i="28"/>
  <c r="A62" i="28" s="1"/>
  <c r="A47" i="28"/>
  <c r="C14" i="33"/>
  <c r="C44" i="33" s="1"/>
  <c r="B44" i="33"/>
  <c r="B46" i="32"/>
  <c r="C12" i="32"/>
  <c r="C46" i="32" s="1"/>
  <c r="B30" i="32"/>
  <c r="B30" i="30"/>
  <c r="B30" i="33"/>
  <c r="B64" i="27"/>
  <c r="C24" i="27"/>
  <c r="C64" i="27" s="1"/>
  <c r="A29" i="30"/>
  <c r="A59" i="30" s="1"/>
  <c r="A44" i="30"/>
  <c r="B41" i="32"/>
  <c r="C17" i="32"/>
  <c r="C41" i="32" s="1"/>
  <c r="B34" i="28"/>
  <c r="A35" i="32"/>
  <c r="A53" i="32" s="1"/>
  <c r="A38" i="32"/>
  <c r="B39" i="32"/>
  <c r="C19" i="32"/>
  <c r="C39" i="32" s="1"/>
  <c r="B41" i="28"/>
  <c r="C17" i="28"/>
  <c r="C41" i="28" s="1"/>
  <c r="C15" i="30"/>
  <c r="C43" i="30" s="1"/>
  <c r="B43" i="30"/>
  <c r="A31" i="33"/>
  <c r="A57" i="33" s="1"/>
  <c r="A42" i="33"/>
  <c r="B31" i="28"/>
  <c r="C31" i="27"/>
  <c r="C57" i="27" s="1"/>
  <c r="A44" i="28"/>
  <c r="C35" i="27"/>
  <c r="C53" i="27" s="1"/>
  <c r="B26" i="33"/>
  <c r="B44" i="27"/>
  <c r="C14" i="27"/>
  <c r="C44" i="27" s="1"/>
  <c r="A40" i="28"/>
  <c r="A33" i="28"/>
  <c r="A55" i="28" s="1"/>
  <c r="B33" i="32"/>
  <c r="B48" i="39"/>
  <c r="F48" i="39" s="1"/>
  <c r="B25" i="40"/>
  <c r="F25" i="40" s="1"/>
  <c r="E6" i="20"/>
  <c r="B137" i="6" s="1"/>
  <c r="B138" i="6" s="1"/>
  <c r="B139" i="6" s="1"/>
  <c r="B140" i="6" s="1"/>
  <c r="B50" i="40"/>
  <c r="F50" i="40" s="1"/>
  <c r="B43" i="40"/>
  <c r="F43" i="40" s="1"/>
  <c r="B41" i="40"/>
  <c r="F41" i="40" s="1"/>
  <c r="B44" i="40"/>
  <c r="F44" i="40" s="1"/>
  <c r="B28" i="40"/>
  <c r="F28" i="40" s="1"/>
  <c r="K7" i="23"/>
  <c r="E24" i="23" s="1"/>
  <c r="B11" i="40"/>
  <c r="E11" i="40" s="1"/>
  <c r="B18" i="40"/>
  <c r="F18" i="40" s="1"/>
  <c r="B48" i="40"/>
  <c r="F48" i="40" s="1"/>
  <c r="P31" i="23"/>
  <c r="B9" i="40"/>
  <c r="E9" i="40" s="1"/>
  <c r="B27" i="40"/>
  <c r="F27" i="40" s="1"/>
  <c r="B34" i="40"/>
  <c r="F34" i="40" s="1"/>
  <c r="B17" i="39"/>
  <c r="F17" i="39" s="1"/>
  <c r="B15" i="39"/>
  <c r="F15" i="39" s="1"/>
  <c r="E7" i="20"/>
  <c r="B113" i="6" s="1"/>
  <c r="B124" i="6" s="1"/>
  <c r="B37" i="39"/>
  <c r="F37" i="39" s="1"/>
  <c r="B35" i="39"/>
  <c r="F35" i="39" s="1"/>
  <c r="B14" i="39"/>
  <c r="F14" i="39" s="1"/>
  <c r="B12" i="39"/>
  <c r="F12" i="39" s="1"/>
  <c r="G12" i="39" s="1"/>
  <c r="K3" i="23"/>
  <c r="K7" i="22"/>
  <c r="E24" i="22" s="1"/>
  <c r="E4" i="22"/>
  <c r="B2" i="14"/>
  <c r="D6" i="42"/>
  <c r="B21" i="39"/>
  <c r="F21" i="39" s="1"/>
  <c r="B18" i="39"/>
  <c r="F18" i="39" s="1"/>
  <c r="B19" i="39"/>
  <c r="F19" i="39" s="1"/>
  <c r="B44" i="39"/>
  <c r="F44" i="39" s="1"/>
  <c r="B13" i="40"/>
  <c r="F13" i="40" s="1"/>
  <c r="B45" i="40"/>
  <c r="F45" i="40" s="1"/>
  <c r="B31" i="40"/>
  <c r="F31" i="40" s="1"/>
  <c r="B52" i="40"/>
  <c r="F52" i="40" s="1"/>
  <c r="B12" i="40"/>
  <c r="F12" i="40" s="1"/>
  <c r="G12" i="40" s="1"/>
  <c r="B14" i="2"/>
  <c r="B15" i="2" s="1"/>
  <c r="B19" i="1"/>
  <c r="B29" i="39"/>
  <c r="F29" i="39" s="1"/>
  <c r="B49" i="39"/>
  <c r="F49" i="39" s="1"/>
  <c r="B26" i="39"/>
  <c r="F26" i="39" s="1"/>
  <c r="B46" i="39"/>
  <c r="F46" i="39" s="1"/>
  <c r="B23" i="39"/>
  <c r="F23" i="39" s="1"/>
  <c r="B47" i="39"/>
  <c r="F47" i="39" s="1"/>
  <c r="B40" i="39"/>
  <c r="F40" i="39" s="1"/>
  <c r="B36" i="39"/>
  <c r="F36" i="39" s="1"/>
  <c r="B17" i="40"/>
  <c r="F17" i="40" s="1"/>
  <c r="B33" i="40"/>
  <c r="F33" i="40" s="1"/>
  <c r="B49" i="40"/>
  <c r="F49" i="40" s="1"/>
  <c r="B19" i="40"/>
  <c r="F19" i="40" s="1"/>
  <c r="B35" i="40"/>
  <c r="F35" i="40" s="1"/>
  <c r="B51" i="40"/>
  <c r="F51" i="40" s="1"/>
  <c r="B10" i="40"/>
  <c r="E10" i="40" s="1"/>
  <c r="B26" i="40"/>
  <c r="F26" i="40" s="1"/>
  <c r="B42" i="40"/>
  <c r="F42" i="40" s="1"/>
  <c r="B20" i="40"/>
  <c r="F20" i="40" s="1"/>
  <c r="B36" i="40"/>
  <c r="F36" i="40" s="1"/>
  <c r="P22" i="20"/>
  <c r="B14" i="3"/>
  <c r="B15" i="3" s="1"/>
  <c r="B45" i="39"/>
  <c r="F45" i="39" s="1"/>
  <c r="B42" i="39"/>
  <c r="F42" i="39" s="1"/>
  <c r="B39" i="39"/>
  <c r="F39" i="39" s="1"/>
  <c r="B20" i="39"/>
  <c r="F20" i="39" s="1"/>
  <c r="B29" i="40"/>
  <c r="F29" i="40" s="1"/>
  <c r="B15" i="40"/>
  <c r="F15" i="40" s="1"/>
  <c r="B47" i="40"/>
  <c r="F47" i="40" s="1"/>
  <c r="B22" i="40"/>
  <c r="F22" i="40" s="1"/>
  <c r="B38" i="40"/>
  <c r="F38" i="40" s="1"/>
  <c r="B32" i="40"/>
  <c r="F32" i="40" s="1"/>
  <c r="C3" i="4"/>
  <c r="C34" i="4" s="1"/>
  <c r="E34" i="4" s="1"/>
  <c r="K10" i="20"/>
  <c r="B171" i="6" s="1"/>
  <c r="B172" i="6" s="1"/>
  <c r="B173" i="6" s="1"/>
  <c r="B174" i="6" s="1"/>
  <c r="B175" i="6" s="1"/>
  <c r="B176" i="6" s="1"/>
  <c r="B13" i="39"/>
  <c r="F13" i="39" s="1"/>
  <c r="B33" i="39"/>
  <c r="F33" i="39" s="1"/>
  <c r="B10" i="39"/>
  <c r="E10" i="39" s="1"/>
  <c r="B30" i="39"/>
  <c r="F30" i="39" s="1"/>
  <c r="B50" i="39"/>
  <c r="F50" i="39" s="1"/>
  <c r="B31" i="39"/>
  <c r="F31" i="39" s="1"/>
  <c r="B51" i="39"/>
  <c r="F51" i="39" s="1"/>
  <c r="B16" i="39"/>
  <c r="F16" i="39" s="1"/>
  <c r="B21" i="40"/>
  <c r="F21" i="40" s="1"/>
  <c r="B37" i="40"/>
  <c r="F37" i="40" s="1"/>
  <c r="B8" i="40"/>
  <c r="E8" i="40" s="1"/>
  <c r="B23" i="40"/>
  <c r="F23" i="40" s="1"/>
  <c r="B39" i="40"/>
  <c r="F39" i="40" s="1"/>
  <c r="B16" i="40"/>
  <c r="F16" i="40" s="1"/>
  <c r="B14" i="40"/>
  <c r="F14" i="40" s="1"/>
  <c r="B30" i="40"/>
  <c r="F30" i="40" s="1"/>
  <c r="B46" i="40"/>
  <c r="F46" i="40" s="1"/>
  <c r="B24" i="40"/>
  <c r="F24" i="40" s="1"/>
  <c r="B2" i="11"/>
  <c r="A149" i="6"/>
  <c r="B21" i="16"/>
  <c r="A140" i="6"/>
  <c r="A141" i="6" s="1"/>
  <c r="A152" i="6" s="1"/>
  <c r="A150" i="6"/>
  <c r="A126" i="6"/>
  <c r="A116" i="6"/>
  <c r="P31" i="22"/>
  <c r="A125" i="6"/>
  <c r="C6" i="42"/>
  <c r="B1" i="16"/>
  <c r="C2" i="13"/>
  <c r="K6" i="20"/>
  <c r="B29" i="20" s="1"/>
  <c r="B2" i="10"/>
  <c r="B118" i="6"/>
  <c r="K5" i="23"/>
  <c r="E4" i="23" s="1"/>
  <c r="B7" i="15"/>
  <c r="B39" i="15" s="1"/>
  <c r="B92" i="15" s="1"/>
  <c r="P21" i="23"/>
  <c r="B128" i="6"/>
  <c r="K6" i="22"/>
  <c r="E14" i="22" s="1"/>
  <c r="B7" i="16"/>
  <c r="G1" i="23"/>
  <c r="C6" i="8"/>
  <c r="K9" i="20"/>
  <c r="K6" i="23"/>
  <c r="E14" i="23" s="1"/>
  <c r="B1" i="28"/>
  <c r="K3" i="22"/>
  <c r="B17" i="22" s="1"/>
  <c r="M17" i="22" s="1"/>
  <c r="F149" i="21"/>
  <c r="B6" i="16"/>
  <c r="B6" i="15"/>
  <c r="B28" i="15" s="1"/>
  <c r="B93" i="15" s="1"/>
  <c r="E3" i="23"/>
  <c r="E3" i="22"/>
  <c r="B9" i="39"/>
  <c r="E9" i="39" s="1"/>
  <c r="B25" i="39"/>
  <c r="F25" i="39" s="1"/>
  <c r="B41" i="39"/>
  <c r="F41" i="39" s="1"/>
  <c r="B8" i="39"/>
  <c r="E8" i="39" s="1"/>
  <c r="B22" i="39"/>
  <c r="F22" i="39" s="1"/>
  <c r="B38" i="39"/>
  <c r="F38" i="39" s="1"/>
  <c r="B11" i="39"/>
  <c r="E11" i="39" s="1"/>
  <c r="B27" i="39"/>
  <c r="F27" i="39" s="1"/>
  <c r="B43" i="39"/>
  <c r="F43" i="39" s="1"/>
  <c r="B28" i="39"/>
  <c r="F28" i="39" s="1"/>
  <c r="B32" i="39"/>
  <c r="F32" i="39" s="1"/>
  <c r="C3" i="5"/>
  <c r="B24" i="39"/>
  <c r="F24" i="39" s="1"/>
  <c r="B27" i="6"/>
  <c r="B5" i="49" s="1"/>
  <c r="B82" i="6"/>
  <c r="C5" i="49" s="1"/>
  <c r="A68" i="15"/>
  <c r="A65" i="15"/>
  <c r="B53" i="16"/>
  <c r="A64" i="15"/>
  <c r="A62" i="15"/>
  <c r="A69" i="15"/>
  <c r="A66" i="15"/>
  <c r="B27" i="15"/>
  <c r="K27" i="15" s="1"/>
  <c r="A61" i="15"/>
  <c r="B38" i="15"/>
  <c r="K38" i="15" s="1"/>
  <c r="D8" i="65" l="1"/>
  <c r="D8" i="44"/>
  <c r="C78" i="63" s="1"/>
  <c r="C79" i="63" s="1"/>
  <c r="C35" i="63" s="1"/>
  <c r="B82" i="15"/>
  <c r="C36" i="64"/>
  <c r="C2" i="64"/>
  <c r="I3" i="62"/>
  <c r="I44" i="62"/>
  <c r="C2" i="65"/>
  <c r="I80" i="61"/>
  <c r="I2" i="56"/>
  <c r="I42" i="61"/>
  <c r="E59" i="55"/>
  <c r="G2" i="20"/>
  <c r="I2" i="54"/>
  <c r="I42" i="54"/>
  <c r="I121" i="54"/>
  <c r="I2" i="61"/>
  <c r="E2" i="57"/>
  <c r="I81" i="54"/>
  <c r="I118" i="61"/>
  <c r="E2" i="59"/>
  <c r="I2" i="58"/>
  <c r="E116" i="55"/>
  <c r="E116" i="60"/>
  <c r="E59" i="60"/>
  <c r="E2" i="55"/>
  <c r="E2" i="60"/>
  <c r="C52" i="9"/>
  <c r="B3" i="63"/>
  <c r="B52" i="37"/>
  <c r="B148" i="37"/>
  <c r="B3" i="38"/>
  <c r="C2" i="42"/>
  <c r="C2" i="9"/>
  <c r="B246" i="37"/>
  <c r="B197" i="37"/>
  <c r="B2" i="37"/>
  <c r="B99" i="37"/>
  <c r="B2" i="8"/>
  <c r="B63" i="28"/>
  <c r="C35" i="28"/>
  <c r="C53" i="28" s="1"/>
  <c r="B61" i="28"/>
  <c r="G4" i="47"/>
  <c r="D39" i="15"/>
  <c r="M39" i="15" s="1"/>
  <c r="D28" i="15"/>
  <c r="P28" i="15" s="1"/>
  <c r="K39" i="15"/>
  <c r="B16" i="2"/>
  <c r="C37" i="2" s="1"/>
  <c r="B16" i="3"/>
  <c r="C37" i="3" s="1"/>
  <c r="F4" i="47"/>
  <c r="C41" i="38"/>
  <c r="C31" i="38"/>
  <c r="C26" i="38"/>
  <c r="C40" i="38"/>
  <c r="B39" i="16"/>
  <c r="B38" i="16"/>
  <c r="B28" i="16"/>
  <c r="B27" i="16"/>
  <c r="B55" i="16"/>
  <c r="S33" i="15"/>
  <c r="F34" i="15"/>
  <c r="F35" i="15" s="1"/>
  <c r="K28" i="15"/>
  <c r="S28" i="15" s="1"/>
  <c r="B27" i="43"/>
  <c r="B28" i="43" s="1"/>
  <c r="B29" i="43" s="1"/>
  <c r="B30" i="43" s="1"/>
  <c r="B31" i="43" s="1"/>
  <c r="B32" i="43" s="1"/>
  <c r="B33" i="43" s="1"/>
  <c r="B34" i="43" s="1"/>
  <c r="B35" i="43" s="1"/>
  <c r="B36" i="43" s="1"/>
  <c r="B37" i="43" s="1"/>
  <c r="B38" i="43" s="1"/>
  <c r="B39" i="43" s="1"/>
  <c r="B40" i="43" s="1"/>
  <c r="B41" i="43" s="1"/>
  <c r="C11" i="48"/>
  <c r="B2" i="47"/>
  <c r="D28" i="50"/>
  <c r="B48" i="50"/>
  <c r="D39" i="50"/>
  <c r="D40" i="50"/>
  <c r="B1" i="15"/>
  <c r="B1" i="51"/>
  <c r="C12" i="42"/>
  <c r="C17" i="42" s="1"/>
  <c r="C9" i="48"/>
  <c r="C14" i="48" s="1"/>
  <c r="D12" i="42"/>
  <c r="D17" i="42" s="1"/>
  <c r="D9" i="48"/>
  <c r="D14" i="48" s="1"/>
  <c r="E12" i="42"/>
  <c r="E17" i="42" s="1"/>
  <c r="E9" i="48"/>
  <c r="E14" i="48" s="1"/>
  <c r="B54" i="30"/>
  <c r="B59" i="32"/>
  <c r="C33" i="30"/>
  <c r="C55" i="30" s="1"/>
  <c r="C24" i="33"/>
  <c r="C64" i="33" s="1"/>
  <c r="A20" i="23"/>
  <c r="A21" i="23" s="1"/>
  <c r="A20" i="22"/>
  <c r="A31" i="22" s="1"/>
  <c r="A21" i="20"/>
  <c r="A32" i="20" s="1"/>
  <c r="A171" i="6"/>
  <c r="A161" i="6"/>
  <c r="C49" i="4"/>
  <c r="E49" i="4" s="1"/>
  <c r="B64" i="28"/>
  <c r="C32" i="28"/>
  <c r="C56" i="28" s="1"/>
  <c r="C28" i="30"/>
  <c r="C60" i="30" s="1"/>
  <c r="B53" i="30"/>
  <c r="C26" i="28"/>
  <c r="C62" i="28" s="1"/>
  <c r="C43" i="38"/>
  <c r="C28" i="33"/>
  <c r="C60" i="33" s="1"/>
  <c r="B53" i="33"/>
  <c r="C31" i="32"/>
  <c r="C57" i="32" s="1"/>
  <c r="B57" i="32"/>
  <c r="C26" i="30"/>
  <c r="C62" i="30" s="1"/>
  <c r="B63" i="33"/>
  <c r="B53" i="32"/>
  <c r="B64" i="30"/>
  <c r="B63" i="32"/>
  <c r="B63" i="30"/>
  <c r="B59" i="30"/>
  <c r="C58" i="4"/>
  <c r="E58" i="4" s="1"/>
  <c r="B54" i="32"/>
  <c r="C32" i="33"/>
  <c r="C56" i="33" s="1"/>
  <c r="B56" i="33"/>
  <c r="B54" i="33"/>
  <c r="C34" i="33"/>
  <c r="C54" i="33" s="1"/>
  <c r="B56" i="32"/>
  <c r="C32" i="32"/>
  <c r="C56" i="32" s="1"/>
  <c r="C26" i="32"/>
  <c r="C62" i="32" s="1"/>
  <c r="C32" i="30"/>
  <c r="C56" i="30" s="1"/>
  <c r="B56" i="30"/>
  <c r="C31" i="33"/>
  <c r="C57" i="33" s="1"/>
  <c r="B57" i="33"/>
  <c r="C48" i="4"/>
  <c r="E48" i="4" s="1"/>
  <c r="C24" i="32"/>
  <c r="C64" i="32" s="1"/>
  <c r="C29" i="33"/>
  <c r="C59" i="33" s="1"/>
  <c r="B59" i="33"/>
  <c r="C27" i="30"/>
  <c r="C61" i="30" s="1"/>
  <c r="B55" i="28"/>
  <c r="B57" i="30"/>
  <c r="C31" i="30"/>
  <c r="C57" i="30" s="1"/>
  <c r="B61" i="32"/>
  <c r="C27" i="32"/>
  <c r="C61" i="32" s="1"/>
  <c r="C11" i="42"/>
  <c r="C10" i="42"/>
  <c r="C9" i="42"/>
  <c r="C7" i="42"/>
  <c r="C27" i="33"/>
  <c r="C61" i="33" s="1"/>
  <c r="B61" i="33"/>
  <c r="C23" i="4"/>
  <c r="E23" i="4" s="1"/>
  <c r="C33" i="33"/>
  <c r="C55" i="33" s="1"/>
  <c r="B60" i="32"/>
  <c r="C28" i="32"/>
  <c r="C60" i="32" s="1"/>
  <c r="C18" i="4"/>
  <c r="E18" i="4" s="1"/>
  <c r="C55" i="4"/>
  <c r="E55" i="4" s="1"/>
  <c r="E8" i="42"/>
  <c r="E14" i="42" s="1"/>
  <c r="D9" i="42"/>
  <c r="D8" i="42"/>
  <c r="D14" i="42" s="1"/>
  <c r="E10" i="42"/>
  <c r="D7" i="42"/>
  <c r="D11" i="42"/>
  <c r="D10" i="42"/>
  <c r="B58" i="32"/>
  <c r="C30" i="32"/>
  <c r="C58" i="32" s="1"/>
  <c r="B57" i="28"/>
  <c r="C31" i="28"/>
  <c r="C57" i="28" s="1"/>
  <c r="B58" i="33"/>
  <c r="C30" i="33"/>
  <c r="C58" i="33" s="1"/>
  <c r="C33" i="32"/>
  <c r="C55" i="32" s="1"/>
  <c r="B55" i="32"/>
  <c r="C34" i="28"/>
  <c r="C54" i="28" s="1"/>
  <c r="B54" i="28"/>
  <c r="C30" i="30"/>
  <c r="C58" i="30" s="1"/>
  <c r="B58" i="30"/>
  <c r="B62" i="33"/>
  <c r="C26" i="33"/>
  <c r="C62" i="33" s="1"/>
  <c r="C41" i="4"/>
  <c r="E41" i="4" s="1"/>
  <c r="B148" i="6"/>
  <c r="B149" i="6" s="1"/>
  <c r="B150" i="6" s="1"/>
  <c r="B151" i="6" s="1"/>
  <c r="Q31" i="22" s="1"/>
  <c r="C13" i="4"/>
  <c r="E13" i="4" s="1"/>
  <c r="A142" i="6"/>
  <c r="A153" i="6" s="1"/>
  <c r="C38" i="4"/>
  <c r="E38" i="4" s="1"/>
  <c r="B17" i="23"/>
  <c r="M17" i="23" s="1"/>
  <c r="C62" i="21"/>
  <c r="C27" i="44" s="1"/>
  <c r="C12" i="4"/>
  <c r="E12" i="4" s="1"/>
  <c r="C60" i="4"/>
  <c r="E60" i="4" s="1"/>
  <c r="C17" i="4"/>
  <c r="E17" i="4" s="1"/>
  <c r="P17" i="23"/>
  <c r="Q17" i="23" s="1"/>
  <c r="K12" i="20"/>
  <c r="P17" i="22"/>
  <c r="Q17" i="22" s="1"/>
  <c r="B114" i="6"/>
  <c r="P19" i="20" s="1"/>
  <c r="Q19" i="20" s="1"/>
  <c r="B28" i="23"/>
  <c r="M28" i="23" s="1"/>
  <c r="P18" i="20"/>
  <c r="Q18" i="20" s="1"/>
  <c r="C32" i="39"/>
  <c r="E32" i="39" s="1"/>
  <c r="E10" i="23"/>
  <c r="E25" i="20"/>
  <c r="A151" i="6"/>
  <c r="E12" i="20"/>
  <c r="C40" i="39"/>
  <c r="E40" i="39" s="1"/>
  <c r="C36" i="39"/>
  <c r="E36" i="39" s="1"/>
  <c r="G13" i="39"/>
  <c r="G14" i="39" s="1"/>
  <c r="G15" i="39" s="1"/>
  <c r="G16" i="39" s="1"/>
  <c r="G17" i="39" s="1"/>
  <c r="G18" i="39" s="1"/>
  <c r="G19" i="39" s="1"/>
  <c r="G20" i="39" s="1"/>
  <c r="G21" i="39" s="1"/>
  <c r="G22" i="39" s="1"/>
  <c r="G23" i="39" s="1"/>
  <c r="G24" i="39" s="1"/>
  <c r="G25" i="39" s="1"/>
  <c r="G26" i="39" s="1"/>
  <c r="G27" i="39" s="1"/>
  <c r="G28" i="39" s="1"/>
  <c r="G29" i="39" s="1"/>
  <c r="G30" i="39" s="1"/>
  <c r="G31" i="39" s="1"/>
  <c r="G32" i="39" s="1"/>
  <c r="G33" i="39" s="1"/>
  <c r="G34" i="39" s="1"/>
  <c r="G35" i="39" s="1"/>
  <c r="G36" i="39" s="1"/>
  <c r="G37" i="39" s="1"/>
  <c r="G38" i="39" s="1"/>
  <c r="G39" i="39" s="1"/>
  <c r="G40" i="39" s="1"/>
  <c r="G41" i="39" s="1"/>
  <c r="G42" i="39" s="1"/>
  <c r="G43" i="39" s="1"/>
  <c r="G44" i="39" s="1"/>
  <c r="G45" i="39" s="1"/>
  <c r="G46" i="39" s="1"/>
  <c r="G47" i="39" s="1"/>
  <c r="G48" i="39" s="1"/>
  <c r="G49" i="39" s="1"/>
  <c r="G50" i="39" s="1"/>
  <c r="G51" i="39" s="1"/>
  <c r="G52" i="39" s="1"/>
  <c r="E67" i="39" s="1"/>
  <c r="C19" i="39"/>
  <c r="E19" i="39" s="1"/>
  <c r="C33" i="4"/>
  <c r="E33" i="4" s="1"/>
  <c r="C56" i="4"/>
  <c r="E56" i="4" s="1"/>
  <c r="C44" i="4"/>
  <c r="E44" i="4" s="1"/>
  <c r="C43" i="4"/>
  <c r="E43" i="4" s="1"/>
  <c r="C26" i="4"/>
  <c r="E26" i="4" s="1"/>
  <c r="C31" i="4"/>
  <c r="E31" i="4" s="1"/>
  <c r="C14" i="4"/>
  <c r="E14" i="4" s="1"/>
  <c r="C61" i="4"/>
  <c r="E61" i="4" s="1"/>
  <c r="E9" i="42"/>
  <c r="C28" i="4"/>
  <c r="E28" i="4" s="1"/>
  <c r="C51" i="4"/>
  <c r="E51" i="4" s="1"/>
  <c r="C28" i="39"/>
  <c r="E28" i="39" s="1"/>
  <c r="B62" i="21"/>
  <c r="B27" i="44" s="1"/>
  <c r="C30" i="4"/>
  <c r="E30" i="4" s="1"/>
  <c r="C11" i="4"/>
  <c r="E11" i="4" s="1"/>
  <c r="C42" i="4"/>
  <c r="E42" i="4" s="1"/>
  <c r="C16" i="4"/>
  <c r="E16" i="4" s="1"/>
  <c r="C52" i="4"/>
  <c r="E52" i="4" s="1"/>
  <c r="C21" i="4"/>
  <c r="E21" i="4" s="1"/>
  <c r="C29" i="4"/>
  <c r="E29" i="4" s="1"/>
  <c r="C32" i="4"/>
  <c r="E32" i="4" s="1"/>
  <c r="C57" i="4"/>
  <c r="E57" i="4" s="1"/>
  <c r="E7" i="42"/>
  <c r="C15" i="4"/>
  <c r="E15" i="4" s="1"/>
  <c r="C50" i="4"/>
  <c r="E50" i="4" s="1"/>
  <c r="C40" i="4"/>
  <c r="E40" i="4" s="1"/>
  <c r="C20" i="4"/>
  <c r="E20" i="4" s="1"/>
  <c r="C53" i="4"/>
  <c r="E53" i="4" s="1"/>
  <c r="C19" i="4"/>
  <c r="E19" i="4" s="1"/>
  <c r="C35" i="4"/>
  <c r="E35" i="4" s="1"/>
  <c r="C25" i="4"/>
  <c r="E25" i="4" s="1"/>
  <c r="C47" i="4"/>
  <c r="E47" i="4" s="1"/>
  <c r="C27" i="4"/>
  <c r="E27" i="4" s="1"/>
  <c r="C37" i="4"/>
  <c r="E37" i="4" s="1"/>
  <c r="C54" i="4"/>
  <c r="E54" i="4" s="1"/>
  <c r="C36" i="4"/>
  <c r="E36" i="4" s="1"/>
  <c r="C22" i="4"/>
  <c r="E22" i="4" s="1"/>
  <c r="C45" i="4"/>
  <c r="E45" i="4" s="1"/>
  <c r="C59" i="4"/>
  <c r="E59" i="4" s="1"/>
  <c r="C24" i="4"/>
  <c r="E24" i="4" s="1"/>
  <c r="C46" i="4"/>
  <c r="E46" i="4" s="1"/>
  <c r="E11" i="42"/>
  <c r="C39" i="4"/>
  <c r="E39" i="4" s="1"/>
  <c r="A117" i="6"/>
  <c r="A127" i="6"/>
  <c r="C21" i="39"/>
  <c r="E21" i="39" s="1"/>
  <c r="C27" i="39"/>
  <c r="E27" i="39" s="1"/>
  <c r="C25" i="39"/>
  <c r="E25" i="39" s="1"/>
  <c r="C31" i="39"/>
  <c r="E31" i="39" s="1"/>
  <c r="C13" i="39"/>
  <c r="E13" i="39" s="1"/>
  <c r="C22" i="39"/>
  <c r="E22" i="39" s="1"/>
  <c r="C16" i="39"/>
  <c r="E16" i="39" s="1"/>
  <c r="C33" i="39"/>
  <c r="E33" i="39" s="1"/>
  <c r="C49" i="39"/>
  <c r="E49" i="39" s="1"/>
  <c r="C15" i="39"/>
  <c r="E15" i="39" s="1"/>
  <c r="C30" i="39"/>
  <c r="E30" i="39" s="1"/>
  <c r="F152" i="21"/>
  <c r="C24" i="39"/>
  <c r="E24" i="39" s="1"/>
  <c r="C44" i="39"/>
  <c r="E44" i="39" s="1"/>
  <c r="C42" i="39"/>
  <c r="E42" i="39" s="1"/>
  <c r="C39" i="39"/>
  <c r="E39" i="39" s="1"/>
  <c r="C17" i="39"/>
  <c r="E17" i="39" s="1"/>
  <c r="C20" i="39"/>
  <c r="E20" i="39" s="1"/>
  <c r="M29" i="20"/>
  <c r="B30" i="20"/>
  <c r="B31" i="20" s="1"/>
  <c r="D8" i="8"/>
  <c r="P22" i="22"/>
  <c r="P23" i="20"/>
  <c r="P22" i="23"/>
  <c r="B129" i="6"/>
  <c r="C12" i="39"/>
  <c r="E12" i="39" s="1"/>
  <c r="C38" i="39"/>
  <c r="E38" i="39" s="1"/>
  <c r="C43" i="39"/>
  <c r="E43" i="39" s="1"/>
  <c r="C50" i="39"/>
  <c r="E50" i="39" s="1"/>
  <c r="C51" i="39"/>
  <c r="E51" i="39" s="1"/>
  <c r="C23" i="39"/>
  <c r="E23" i="39" s="1"/>
  <c r="C26" i="39"/>
  <c r="E26" i="39" s="1"/>
  <c r="B11" i="6"/>
  <c r="C37" i="39"/>
  <c r="E37" i="39" s="1"/>
  <c r="C14" i="39"/>
  <c r="E14" i="39" s="1"/>
  <c r="C48" i="39"/>
  <c r="E48" i="39" s="1"/>
  <c r="B18" i="20"/>
  <c r="M18" i="20" s="1"/>
  <c r="P29" i="20"/>
  <c r="Q29" i="20" s="1"/>
  <c r="P28" i="23"/>
  <c r="Q28" i="23" s="1"/>
  <c r="P28" i="22"/>
  <c r="Q28" i="22" s="1"/>
  <c r="E56" i="39"/>
  <c r="E58" i="39" s="1"/>
  <c r="C46" i="39"/>
  <c r="E46" i="39" s="1"/>
  <c r="C34" i="39"/>
  <c r="E34" i="39" s="1"/>
  <c r="C52" i="39"/>
  <c r="E52" i="39" s="1"/>
  <c r="C35" i="39"/>
  <c r="E35" i="39" s="1"/>
  <c r="C29" i="39"/>
  <c r="E29" i="39" s="1"/>
  <c r="C47" i="39"/>
  <c r="E47" i="39" s="1"/>
  <c r="C41" i="39"/>
  <c r="E41" i="39" s="1"/>
  <c r="C18" i="39"/>
  <c r="E18" i="39" s="1"/>
  <c r="C45" i="39"/>
  <c r="E45" i="39" s="1"/>
  <c r="P32" i="23"/>
  <c r="P33" i="20"/>
  <c r="P32" i="22"/>
  <c r="B160" i="6"/>
  <c r="B161" i="6" s="1"/>
  <c r="E15" i="20"/>
  <c r="E10" i="22"/>
  <c r="B28" i="22"/>
  <c r="C18" i="40"/>
  <c r="E18" i="40" s="1"/>
  <c r="C26" i="40"/>
  <c r="E26" i="40" s="1"/>
  <c r="E12" i="23"/>
  <c r="G13" i="40"/>
  <c r="G14" i="40" s="1"/>
  <c r="G15" i="40" s="1"/>
  <c r="G16" i="40" s="1"/>
  <c r="G17" i="40" s="1"/>
  <c r="G18" i="40" s="1"/>
  <c r="G19" i="40" s="1"/>
  <c r="G20" i="40" s="1"/>
  <c r="G21" i="40" s="1"/>
  <c r="G22" i="40" s="1"/>
  <c r="G23" i="40" s="1"/>
  <c r="G24" i="40" s="1"/>
  <c r="G25" i="40" s="1"/>
  <c r="G26" i="40" s="1"/>
  <c r="G27" i="40" s="1"/>
  <c r="G28" i="40" s="1"/>
  <c r="G29" i="40" s="1"/>
  <c r="G30" i="40" s="1"/>
  <c r="G31" i="40" s="1"/>
  <c r="G32" i="40" s="1"/>
  <c r="G33" i="40" s="1"/>
  <c r="G34" i="40" s="1"/>
  <c r="G35" i="40" s="1"/>
  <c r="G36" i="40" s="1"/>
  <c r="G37" i="40" s="1"/>
  <c r="G38" i="40" s="1"/>
  <c r="G39" i="40" s="1"/>
  <c r="G40" i="40" s="1"/>
  <c r="G41" i="40" s="1"/>
  <c r="G42" i="40" s="1"/>
  <c r="G43" i="40" s="1"/>
  <c r="G44" i="40" s="1"/>
  <c r="G45" i="40" s="1"/>
  <c r="G46" i="40" s="1"/>
  <c r="G47" i="40" s="1"/>
  <c r="G48" i="40" s="1"/>
  <c r="G49" i="40" s="1"/>
  <c r="G50" i="40" s="1"/>
  <c r="G51" i="40" s="1"/>
  <c r="G52" i="40" s="1"/>
  <c r="E67" i="40" s="1"/>
  <c r="C30" i="40"/>
  <c r="E30" i="40" s="1"/>
  <c r="C41" i="40"/>
  <c r="E41" i="40" s="1"/>
  <c r="C55" i="5"/>
  <c r="E55" i="5" s="1"/>
  <c r="C47" i="5"/>
  <c r="E47" i="5" s="1"/>
  <c r="C33" i="5"/>
  <c r="E33" i="5" s="1"/>
  <c r="C31" i="5"/>
  <c r="E31" i="5" s="1"/>
  <c r="C41" i="5"/>
  <c r="E41" i="5" s="1"/>
  <c r="C60" i="5"/>
  <c r="E60" i="5" s="1"/>
  <c r="C36" i="5"/>
  <c r="E36" i="5" s="1"/>
  <c r="C52" i="5"/>
  <c r="E52" i="5" s="1"/>
  <c r="C35" i="5"/>
  <c r="E35" i="5" s="1"/>
  <c r="C61" i="5"/>
  <c r="E61" i="5" s="1"/>
  <c r="C42" i="5"/>
  <c r="E42" i="5" s="1"/>
  <c r="C56" i="5"/>
  <c r="E56" i="5" s="1"/>
  <c r="C34" i="5"/>
  <c r="E34" i="5" s="1"/>
  <c r="C39" i="5"/>
  <c r="E39" i="5" s="1"/>
  <c r="C53" i="5"/>
  <c r="E53" i="5" s="1"/>
  <c r="C57" i="5"/>
  <c r="E57" i="5" s="1"/>
  <c r="C24" i="5"/>
  <c r="E24" i="5" s="1"/>
  <c r="C49" i="5"/>
  <c r="E49" i="5" s="1"/>
  <c r="C21" i="5"/>
  <c r="E21" i="5" s="1"/>
  <c r="C11" i="5"/>
  <c r="C13" i="5"/>
  <c r="E13" i="5" s="1"/>
  <c r="C50" i="5"/>
  <c r="E50" i="5" s="1"/>
  <c r="C15" i="5"/>
  <c r="E15" i="5" s="1"/>
  <c r="C46" i="5"/>
  <c r="E46" i="5" s="1"/>
  <c r="C40" i="5"/>
  <c r="E40" i="5" s="1"/>
  <c r="C32" i="5"/>
  <c r="E32" i="5" s="1"/>
  <c r="C16" i="5"/>
  <c r="E16" i="5" s="1"/>
  <c r="C51" i="5"/>
  <c r="E51" i="5" s="1"/>
  <c r="C12" i="5"/>
  <c r="E12" i="5" s="1"/>
  <c r="C26" i="5"/>
  <c r="E26" i="5" s="1"/>
  <c r="C28" i="5"/>
  <c r="E28" i="5" s="1"/>
  <c r="C37" i="5"/>
  <c r="E37" i="5" s="1"/>
  <c r="C43" i="5"/>
  <c r="E43" i="5" s="1"/>
  <c r="C22" i="5"/>
  <c r="E22" i="5" s="1"/>
  <c r="C23" i="5"/>
  <c r="E23" i="5" s="1"/>
  <c r="C29" i="5"/>
  <c r="E29" i="5" s="1"/>
  <c r="C19" i="5"/>
  <c r="E19" i="5" s="1"/>
  <c r="C48" i="5"/>
  <c r="E48" i="5" s="1"/>
  <c r="C18" i="5"/>
  <c r="E18" i="5" s="1"/>
  <c r="C45" i="5"/>
  <c r="E45" i="5" s="1"/>
  <c r="C44" i="5"/>
  <c r="E44" i="5" s="1"/>
  <c r="C59" i="5"/>
  <c r="E59" i="5" s="1"/>
  <c r="C54" i="5"/>
  <c r="E54" i="5" s="1"/>
  <c r="C38" i="5"/>
  <c r="E38" i="5" s="1"/>
  <c r="C14" i="5"/>
  <c r="E14" i="5" s="1"/>
  <c r="C17" i="5"/>
  <c r="E17" i="5" s="1"/>
  <c r="C27" i="5"/>
  <c r="E27" i="5" s="1"/>
  <c r="C20" i="5"/>
  <c r="E20" i="5" s="1"/>
  <c r="C58" i="5"/>
  <c r="E58" i="5" s="1"/>
  <c r="C25" i="5"/>
  <c r="E25" i="5" s="1"/>
  <c r="C30" i="5"/>
  <c r="E30" i="5" s="1"/>
  <c r="E12" i="22"/>
  <c r="C34" i="40"/>
  <c r="E34" i="40" s="1"/>
  <c r="C35" i="40"/>
  <c r="E35" i="40" s="1"/>
  <c r="C23" i="40"/>
  <c r="E23" i="40" s="1"/>
  <c r="C49" i="40"/>
  <c r="E49" i="40" s="1"/>
  <c r="C61" i="21"/>
  <c r="C15" i="40"/>
  <c r="E15" i="40" s="1"/>
  <c r="C20" i="40"/>
  <c r="E20" i="40" s="1"/>
  <c r="C47" i="40"/>
  <c r="E47" i="40" s="1"/>
  <c r="C22" i="40"/>
  <c r="E22" i="40" s="1"/>
  <c r="C27" i="40"/>
  <c r="E27" i="40" s="1"/>
  <c r="C43" i="40"/>
  <c r="E43" i="40" s="1"/>
  <c r="C38" i="40"/>
  <c r="E38" i="40" s="1"/>
  <c r="C24" i="40"/>
  <c r="E24" i="40" s="1"/>
  <c r="C37" i="40"/>
  <c r="E37" i="40" s="1"/>
  <c r="C42" i="40"/>
  <c r="E42" i="40" s="1"/>
  <c r="C16" i="40"/>
  <c r="E16" i="40" s="1"/>
  <c r="C21" i="40"/>
  <c r="E21" i="40" s="1"/>
  <c r="C36" i="40"/>
  <c r="E36" i="40" s="1"/>
  <c r="C48" i="40"/>
  <c r="E48" i="40" s="1"/>
  <c r="C50" i="40"/>
  <c r="E50" i="40" s="1"/>
  <c r="C51" i="40"/>
  <c r="E51" i="40" s="1"/>
  <c r="C45" i="40"/>
  <c r="E45" i="40" s="1"/>
  <c r="C44" i="40"/>
  <c r="E44" i="40" s="1"/>
  <c r="C40" i="40"/>
  <c r="E40" i="40" s="1"/>
  <c r="C25" i="40"/>
  <c r="E25" i="40" s="1"/>
  <c r="C14" i="40"/>
  <c r="E14" i="40" s="1"/>
  <c r="C39" i="40"/>
  <c r="E39" i="40" s="1"/>
  <c r="C17" i="40"/>
  <c r="E17" i="40" s="1"/>
  <c r="B66" i="6"/>
  <c r="C33" i="40"/>
  <c r="E33" i="40" s="1"/>
  <c r="C19" i="40"/>
  <c r="E19" i="40" s="1"/>
  <c r="C31" i="40"/>
  <c r="E31" i="40" s="1"/>
  <c r="C29" i="40"/>
  <c r="E29" i="40" s="1"/>
  <c r="C12" i="40"/>
  <c r="E12" i="40" s="1"/>
  <c r="C52" i="40"/>
  <c r="E52" i="40" s="1"/>
  <c r="E56" i="40"/>
  <c r="E58" i="40" s="1"/>
  <c r="C32" i="40"/>
  <c r="E32" i="40" s="1"/>
  <c r="C28" i="40"/>
  <c r="E28" i="40" s="1"/>
  <c r="C13" i="40"/>
  <c r="E13" i="40" s="1"/>
  <c r="C46" i="40"/>
  <c r="E46" i="40" s="1"/>
  <c r="C8" i="42"/>
  <c r="C14" i="42" s="1"/>
  <c r="C8" i="8"/>
  <c r="B141" i="6"/>
  <c r="Q20" i="22"/>
  <c r="Q21" i="20"/>
  <c r="Q20" i="23"/>
  <c r="B48" i="15"/>
  <c r="K48" i="15" s="1"/>
  <c r="B59" i="6"/>
  <c r="C1" i="1" s="1"/>
  <c r="C42" i="38" l="1"/>
  <c r="K28" i="16"/>
  <c r="S28" i="16" s="1"/>
  <c r="B93" i="16"/>
  <c r="K39" i="16"/>
  <c r="B92" i="16"/>
  <c r="C38" i="2"/>
  <c r="C44" i="3"/>
  <c r="C24" i="3"/>
  <c r="C55" i="3"/>
  <c r="C42" i="3"/>
  <c r="C20" i="3"/>
  <c r="C50" i="3"/>
  <c r="C47" i="3"/>
  <c r="C53" i="3"/>
  <c r="S27" i="15"/>
  <c r="W28" i="15" s="1"/>
  <c r="B89" i="15"/>
  <c r="C23" i="3"/>
  <c r="C41" i="3"/>
  <c r="C35" i="3"/>
  <c r="C58" i="3"/>
  <c r="C51" i="2"/>
  <c r="C59" i="3"/>
  <c r="C54" i="3"/>
  <c r="C25" i="3"/>
  <c r="C36" i="3"/>
  <c r="C43" i="3"/>
  <c r="C48" i="3"/>
  <c r="C40" i="3"/>
  <c r="C56" i="3"/>
  <c r="C33" i="3"/>
  <c r="C21" i="3"/>
  <c r="C28" i="3"/>
  <c r="C27" i="3"/>
  <c r="C31" i="2"/>
  <c r="C45" i="3"/>
  <c r="C49" i="3"/>
  <c r="C31" i="3"/>
  <c r="C52" i="3"/>
  <c r="C58" i="2"/>
  <c r="K38" i="16"/>
  <c r="D39" i="16"/>
  <c r="M39" i="16" s="1"/>
  <c r="K27" i="16"/>
  <c r="B89" i="16" s="1"/>
  <c r="D28" i="16"/>
  <c r="P28" i="16" s="1"/>
  <c r="C59" i="2"/>
  <c r="C21" i="2"/>
  <c r="C45" i="2"/>
  <c r="C27" i="2"/>
  <c r="C35" i="2"/>
  <c r="C29" i="2"/>
  <c r="C39" i="2"/>
  <c r="C53" i="2"/>
  <c r="C25" i="2"/>
  <c r="C20" i="2"/>
  <c r="C42" i="2"/>
  <c r="C24" i="2"/>
  <c r="C22" i="2"/>
  <c r="C28" i="2"/>
  <c r="C49" i="2"/>
  <c r="C46" i="2"/>
  <c r="C32" i="2"/>
  <c r="C43" i="2"/>
  <c r="C36" i="2"/>
  <c r="C54" i="2"/>
  <c r="C57" i="2"/>
  <c r="C41" i="2"/>
  <c r="C26" i="2"/>
  <c r="C50" i="2"/>
  <c r="C33" i="2"/>
  <c r="C19" i="2"/>
  <c r="D19" i="2" s="1"/>
  <c r="C47" i="2"/>
  <c r="C55" i="2"/>
  <c r="C40" i="2"/>
  <c r="C48" i="2"/>
  <c r="C56" i="2"/>
  <c r="C34" i="2"/>
  <c r="C30" i="2"/>
  <c r="C23" i="2"/>
  <c r="C44" i="2"/>
  <c r="C52" i="2"/>
  <c r="C51" i="3"/>
  <c r="C32" i="3"/>
  <c r="C30" i="3"/>
  <c r="C38" i="3"/>
  <c r="C29" i="3"/>
  <c r="C19" i="3"/>
  <c r="D19" i="3" s="1"/>
  <c r="C34" i="3"/>
  <c r="C57" i="3"/>
  <c r="C26" i="3"/>
  <c r="C46" i="3"/>
  <c r="C39" i="3"/>
  <c r="C22" i="3"/>
  <c r="C17" i="38"/>
  <c r="C29" i="38"/>
  <c r="D40" i="38"/>
  <c r="B32" i="6"/>
  <c r="B1" i="50"/>
  <c r="C20" i="42"/>
  <c r="C17" i="48"/>
  <c r="D7" i="8"/>
  <c r="D9" i="8" s="1"/>
  <c r="C4" i="49"/>
  <c r="C6" i="49" s="1"/>
  <c r="C8" i="49"/>
  <c r="B39" i="6"/>
  <c r="B42" i="6" s="1"/>
  <c r="B4" i="49"/>
  <c r="B6" i="49" s="1"/>
  <c r="A22" i="20"/>
  <c r="A23" i="20" s="1"/>
  <c r="A34" i="20" s="1"/>
  <c r="A31" i="23"/>
  <c r="A21" i="22"/>
  <c r="A32" i="22" s="1"/>
  <c r="A32" i="23"/>
  <c r="A22" i="23"/>
  <c r="A33" i="23" s="1"/>
  <c r="A172" i="6"/>
  <c r="A162" i="6"/>
  <c r="B18" i="23"/>
  <c r="M18" i="23" s="1"/>
  <c r="B89" i="6"/>
  <c r="B19" i="15" s="1"/>
  <c r="B20" i="15" s="1"/>
  <c r="B34" i="6"/>
  <c r="B19" i="16" s="1"/>
  <c r="B20" i="16" s="1"/>
  <c r="B87" i="6"/>
  <c r="P18" i="23"/>
  <c r="Q18" i="23" s="1"/>
  <c r="P18" i="22"/>
  <c r="Q18" i="22" s="1"/>
  <c r="B29" i="23"/>
  <c r="M29" i="23" s="1"/>
  <c r="B125" i="6"/>
  <c r="P29" i="23" s="1"/>
  <c r="Q29" i="23" s="1"/>
  <c r="B115" i="6"/>
  <c r="B126" i="6" s="1"/>
  <c r="Q31" i="23"/>
  <c r="M30" i="20"/>
  <c r="E66" i="39"/>
  <c r="B31" i="6" s="1"/>
  <c r="Q32" i="20"/>
  <c r="C63" i="4"/>
  <c r="C65" i="4" s="1"/>
  <c r="E63" i="4"/>
  <c r="E65" i="4" s="1"/>
  <c r="A128" i="6"/>
  <c r="A118" i="6"/>
  <c r="A129" i="6" s="1"/>
  <c r="C7" i="8"/>
  <c r="C9" i="8" s="1"/>
  <c r="P34" i="20"/>
  <c r="P33" i="22"/>
  <c r="P33" i="23"/>
  <c r="C15" i="38"/>
  <c r="C16" i="38" s="1"/>
  <c r="B152" i="6"/>
  <c r="Q32" i="23" s="1"/>
  <c r="B162" i="6"/>
  <c r="B163" i="6" s="1"/>
  <c r="B164" i="6" s="1"/>
  <c r="B165" i="6" s="1"/>
  <c r="B19" i="20"/>
  <c r="B18" i="22"/>
  <c r="M28" i="22"/>
  <c r="B29" i="22"/>
  <c r="B94" i="6"/>
  <c r="M31" i="20"/>
  <c r="B32" i="20"/>
  <c r="D11" i="8"/>
  <c r="E53" i="39"/>
  <c r="E59" i="39" s="1"/>
  <c r="E60" i="39" s="1"/>
  <c r="E62" i="39" s="1"/>
  <c r="B30" i="6" s="1"/>
  <c r="E11" i="5"/>
  <c r="E63" i="5" s="1"/>
  <c r="E65" i="5" s="1"/>
  <c r="C63" i="5"/>
  <c r="C65" i="5" s="1"/>
  <c r="E66" i="40"/>
  <c r="E53" i="40"/>
  <c r="E59" i="40" s="1"/>
  <c r="E60" i="40" s="1"/>
  <c r="E62" i="40" s="1"/>
  <c r="B85" i="6" s="1"/>
  <c r="Q21" i="22"/>
  <c r="Q21" i="23"/>
  <c r="Q22" i="20"/>
  <c r="B142" i="6"/>
  <c r="B48" i="16"/>
  <c r="K48" i="16" s="1"/>
  <c r="B98" i="6" l="1"/>
  <c r="E59" i="9"/>
  <c r="E19" i="1" s="1"/>
  <c r="E63" i="9"/>
  <c r="E65" i="9" s="1"/>
  <c r="E17" i="1" s="1"/>
  <c r="D20" i="3"/>
  <c r="D21" i="3" s="1"/>
  <c r="D22" i="3" s="1"/>
  <c r="D23" i="3" s="1"/>
  <c r="D24" i="3" s="1"/>
  <c r="D25" i="3" s="1"/>
  <c r="D26" i="3" s="1"/>
  <c r="D27" i="3" s="1"/>
  <c r="D28" i="3" s="1"/>
  <c r="D29" i="3" s="1"/>
  <c r="D30" i="3" s="1"/>
  <c r="D31" i="3" s="1"/>
  <c r="D32" i="3" s="1"/>
  <c r="D33" i="3" s="1"/>
  <c r="D34" i="3" s="1"/>
  <c r="D35" i="3" s="1"/>
  <c r="D36" i="3" s="1"/>
  <c r="D37" i="3" s="1"/>
  <c r="D38" i="3" s="1"/>
  <c r="D39" i="3" s="1"/>
  <c r="D40" i="3" s="1"/>
  <c r="D41" i="3" s="1"/>
  <c r="D42" i="3" s="1"/>
  <c r="D43" i="3" s="1"/>
  <c r="D44" i="3" s="1"/>
  <c r="D45" i="3" s="1"/>
  <c r="D46" i="3" s="1"/>
  <c r="D47" i="3" s="1"/>
  <c r="D48" i="3" s="1"/>
  <c r="D49" i="3" s="1"/>
  <c r="D50" i="3" s="1"/>
  <c r="D51" i="3" s="1"/>
  <c r="D52" i="3" s="1"/>
  <c r="D53" i="3" s="1"/>
  <c r="D54" i="3" s="1"/>
  <c r="D55" i="3" s="1"/>
  <c r="D56" i="3" s="1"/>
  <c r="D57" i="3" s="1"/>
  <c r="D58" i="3" s="1"/>
  <c r="D59" i="3" s="1"/>
  <c r="E59" i="3" s="1"/>
  <c r="C28" i="6" s="1"/>
  <c r="B28" i="6" s="1"/>
  <c r="B18" i="15" s="1"/>
  <c r="M34" i="15" s="1"/>
  <c r="S27" i="16"/>
  <c r="W28" i="16" s="1"/>
  <c r="D20" i="2"/>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E59" i="2" s="1"/>
  <c r="C83" i="6" s="1"/>
  <c r="B83" i="6" s="1"/>
  <c r="B18" i="16" s="1"/>
  <c r="B35" i="16" s="1"/>
  <c r="B98" i="16" s="1"/>
  <c r="C92" i="15"/>
  <c r="C93" i="15"/>
  <c r="C30" i="38"/>
  <c r="C32" i="38" s="1"/>
  <c r="Q48" i="16"/>
  <c r="Q48" i="15"/>
  <c r="B19" i="50"/>
  <c r="B20" i="50" s="1"/>
  <c r="E9" i="9"/>
  <c r="E8" i="1" s="1"/>
  <c r="B21" i="50"/>
  <c r="B22" i="50"/>
  <c r="E13" i="9"/>
  <c r="E15" i="9" s="1"/>
  <c r="E6" i="1" s="1"/>
  <c r="B43" i="6"/>
  <c r="E8" i="9" s="1"/>
  <c r="E9" i="1" s="1"/>
  <c r="P20" i="20"/>
  <c r="Q20" i="20" s="1"/>
  <c r="A33" i="20"/>
  <c r="A22" i="22"/>
  <c r="A33" i="22" s="1"/>
  <c r="A163" i="6"/>
  <c r="A173" i="6"/>
  <c r="P30" i="20"/>
  <c r="Q30" i="20" s="1"/>
  <c r="P29" i="22"/>
  <c r="Q29" i="22" s="1"/>
  <c r="B30" i="23"/>
  <c r="M30" i="23" s="1"/>
  <c r="P19" i="22"/>
  <c r="Q19" i="22" s="1"/>
  <c r="P19" i="23"/>
  <c r="Q19" i="23" s="1"/>
  <c r="Q32" i="22"/>
  <c r="Q33" i="20"/>
  <c r="C80" i="6"/>
  <c r="B10" i="16" s="1"/>
  <c r="B16" i="16" s="1"/>
  <c r="B153" i="6"/>
  <c r="Q33" i="23" s="1"/>
  <c r="C67" i="4"/>
  <c r="B19" i="23"/>
  <c r="B20" i="23" s="1"/>
  <c r="P30" i="23"/>
  <c r="Q30" i="23" s="1"/>
  <c r="P30" i="22"/>
  <c r="Q30" i="22" s="1"/>
  <c r="P31" i="20"/>
  <c r="Q31" i="20" s="1"/>
  <c r="B86" i="6"/>
  <c r="E7" i="22" s="1"/>
  <c r="B19" i="22"/>
  <c r="M18" i="22"/>
  <c r="B20" i="20"/>
  <c r="M19" i="20"/>
  <c r="E64" i="39"/>
  <c r="E64" i="40"/>
  <c r="B97" i="6"/>
  <c r="E57" i="9" s="1"/>
  <c r="B30" i="22"/>
  <c r="M29" i="22"/>
  <c r="M32" i="20"/>
  <c r="B33" i="20"/>
  <c r="C67" i="5"/>
  <c r="C71" i="5"/>
  <c r="C25" i="6"/>
  <c r="Q23" i="20"/>
  <c r="Q22" i="22"/>
  <c r="Q22" i="23"/>
  <c r="E58" i="9" l="1"/>
  <c r="E61" i="9" s="1"/>
  <c r="M29" i="16"/>
  <c r="U29" i="16" s="1"/>
  <c r="C92" i="16"/>
  <c r="C98" i="16"/>
  <c r="C93" i="16"/>
  <c r="M29" i="15"/>
  <c r="C84" i="6"/>
  <c r="B84" i="6" s="1"/>
  <c r="L49" i="16" s="1"/>
  <c r="L50" i="16" s="1"/>
  <c r="R50" i="16" s="1"/>
  <c r="M34" i="16"/>
  <c r="B14" i="16"/>
  <c r="B15" i="16" s="1"/>
  <c r="N34" i="16" s="1"/>
  <c r="V34" i="16" s="1"/>
  <c r="B14" i="15"/>
  <c r="B15" i="15" s="1"/>
  <c r="N34" i="15" s="1"/>
  <c r="V34" i="15" s="1"/>
  <c r="C29" i="6"/>
  <c r="B29" i="6" s="1"/>
  <c r="L49" i="15" s="1"/>
  <c r="L50" i="15" s="1"/>
  <c r="R50" i="15" s="1"/>
  <c r="M30" i="16"/>
  <c r="U30" i="16" s="1"/>
  <c r="B14" i="50"/>
  <c r="B15" i="50" s="1"/>
  <c r="M30" i="15"/>
  <c r="B18" i="50"/>
  <c r="B17" i="16"/>
  <c r="B12" i="16"/>
  <c r="B13" i="16" s="1"/>
  <c r="K29" i="16"/>
  <c r="K30" i="16"/>
  <c r="K49" i="16"/>
  <c r="B30" i="16"/>
  <c r="B95" i="16" s="1"/>
  <c r="C95" i="16" s="1"/>
  <c r="D35" i="16"/>
  <c r="C35" i="16" s="1"/>
  <c r="M35" i="15"/>
  <c r="U35" i="15" s="1"/>
  <c r="U34" i="15"/>
  <c r="D29" i="38"/>
  <c r="C49" i="16"/>
  <c r="M49" i="16" s="1"/>
  <c r="C50" i="16"/>
  <c r="M50" i="16" s="1"/>
  <c r="C50" i="15"/>
  <c r="C50" i="50"/>
  <c r="C49" i="50"/>
  <c r="C49" i="15"/>
  <c r="M49" i="15" s="1"/>
  <c r="E7" i="9"/>
  <c r="A164" i="6"/>
  <c r="A174" i="6"/>
  <c r="B31" i="23"/>
  <c r="M31" i="23" s="1"/>
  <c r="K34" i="16"/>
  <c r="Q34" i="20"/>
  <c r="Q33" i="22"/>
  <c r="M19" i="23"/>
  <c r="E7" i="23"/>
  <c r="E10" i="20"/>
  <c r="M20" i="20"/>
  <c r="B21" i="20"/>
  <c r="M20" i="23"/>
  <c r="B21" i="23"/>
  <c r="M19" i="22"/>
  <c r="B20" i="22"/>
  <c r="E6" i="22"/>
  <c r="C17" i="22" s="1"/>
  <c r="B31" i="22"/>
  <c r="M30" i="22"/>
  <c r="E9" i="20"/>
  <c r="C18" i="20" s="1"/>
  <c r="B34" i="20"/>
  <c r="M34" i="20" s="1"/>
  <c r="M33" i="20"/>
  <c r="E6" i="23"/>
  <c r="E11" i="23" s="1"/>
  <c r="C74" i="5"/>
  <c r="C26" i="6" s="1"/>
  <c r="B26" i="6" s="1"/>
  <c r="C12" i="8" s="1"/>
  <c r="C76" i="5"/>
  <c r="C81" i="6" s="1"/>
  <c r="B25" i="6"/>
  <c r="B9" i="50" s="1"/>
  <c r="B10" i="50" s="1"/>
  <c r="B8" i="16"/>
  <c r="E20" i="1" l="1"/>
  <c r="N29" i="15"/>
  <c r="V29" i="15" s="1"/>
  <c r="R49" i="16"/>
  <c r="B34" i="16"/>
  <c r="B97" i="16" s="1"/>
  <c r="C97" i="16" s="1"/>
  <c r="N29" i="16"/>
  <c r="V29" i="16" s="1"/>
  <c r="B49" i="16"/>
  <c r="C10" i="49"/>
  <c r="D13" i="8"/>
  <c r="B10" i="49"/>
  <c r="C13" i="8"/>
  <c r="C14" i="8" s="1"/>
  <c r="C16" i="8" s="1"/>
  <c r="R49" i="15"/>
  <c r="Q49" i="16"/>
  <c r="T49" i="16" s="1"/>
  <c r="N49" i="16"/>
  <c r="O49" i="16" s="1"/>
  <c r="S30" i="16"/>
  <c r="W30" i="16" s="1"/>
  <c r="S29" i="16"/>
  <c r="B29" i="16"/>
  <c r="B94" i="16" s="1"/>
  <c r="C94" i="16" s="1"/>
  <c r="C9" i="49"/>
  <c r="D12" i="8"/>
  <c r="B40" i="16"/>
  <c r="B96" i="16" s="1"/>
  <c r="C96" i="16" s="1"/>
  <c r="L29" i="16"/>
  <c r="T29" i="16" s="1"/>
  <c r="L34" i="16"/>
  <c r="T34" i="16" s="1"/>
  <c r="U34" i="16"/>
  <c r="M35" i="16"/>
  <c r="U35" i="16" s="1"/>
  <c r="M50" i="15"/>
  <c r="B9" i="49"/>
  <c r="B11" i="50"/>
  <c r="B50" i="50" s="1"/>
  <c r="D50" i="50" s="1"/>
  <c r="B49" i="50"/>
  <c r="D49" i="50" s="1"/>
  <c r="B16" i="50"/>
  <c r="B12" i="50"/>
  <c r="B13" i="50" s="1"/>
  <c r="B29" i="50" s="1"/>
  <c r="B30" i="50"/>
  <c r="E7" i="1"/>
  <c r="A175" i="6"/>
  <c r="A165" i="6"/>
  <c r="A176" i="6" s="1"/>
  <c r="B32" i="23"/>
  <c r="B33" i="23" s="1"/>
  <c r="M33" i="23" s="1"/>
  <c r="K35" i="16"/>
  <c r="B23" i="16"/>
  <c r="B24" i="16"/>
  <c r="D24" i="16" s="1"/>
  <c r="B45" i="16" s="1"/>
  <c r="M20" i="22"/>
  <c r="B21" i="22"/>
  <c r="B22" i="20"/>
  <c r="M21" i="20"/>
  <c r="M21" i="23"/>
  <c r="B22" i="23"/>
  <c r="M22" i="23" s="1"/>
  <c r="B10" i="15"/>
  <c r="B8" i="15"/>
  <c r="B40" i="15" s="1"/>
  <c r="B96" i="15" s="1"/>
  <c r="C96" i="15" s="1"/>
  <c r="E18" i="1"/>
  <c r="C29" i="20"/>
  <c r="C30" i="20" s="1"/>
  <c r="C28" i="22"/>
  <c r="C29" i="22" s="1"/>
  <c r="E11" i="22"/>
  <c r="B32" i="22"/>
  <c r="M31" i="22"/>
  <c r="E13" i="20"/>
  <c r="C28" i="23"/>
  <c r="C29" i="23" s="1"/>
  <c r="C17" i="23"/>
  <c r="N17" i="23" s="1"/>
  <c r="O17" i="23" s="1"/>
  <c r="R17" i="23" s="1"/>
  <c r="D17" i="23" s="1"/>
  <c r="E17" i="23" s="1"/>
  <c r="K50" i="15"/>
  <c r="C18" i="22"/>
  <c r="N17" i="22"/>
  <c r="O17" i="22" s="1"/>
  <c r="R17" i="22" s="1"/>
  <c r="D17" i="22" s="1"/>
  <c r="E17" i="22" s="1"/>
  <c r="C19" i="20"/>
  <c r="N18" i="20"/>
  <c r="O18" i="20" s="1"/>
  <c r="R18" i="20" s="1"/>
  <c r="D18" i="20" s="1"/>
  <c r="E18" i="20" s="1"/>
  <c r="B91" i="16" l="1"/>
  <c r="C91" i="16" s="1"/>
  <c r="G15" i="63"/>
  <c r="D49" i="16"/>
  <c r="D34" i="16"/>
  <c r="B11" i="49"/>
  <c r="B13" i="49" s="1"/>
  <c r="B21" i="49" s="1"/>
  <c r="D14" i="8"/>
  <c r="D16" i="8" s="1"/>
  <c r="D23" i="8" s="1"/>
  <c r="C11" i="49"/>
  <c r="C13" i="49" s="1"/>
  <c r="C21" i="49" s="1"/>
  <c r="D45" i="16"/>
  <c r="B100" i="16"/>
  <c r="C100" i="16" s="1"/>
  <c r="N50" i="15"/>
  <c r="D40" i="15"/>
  <c r="M40" i="15" s="1"/>
  <c r="K40" i="16"/>
  <c r="D40" i="16"/>
  <c r="M40" i="16" s="1"/>
  <c r="W29" i="16"/>
  <c r="D23" i="16"/>
  <c r="B44" i="16" s="1"/>
  <c r="B50" i="16"/>
  <c r="G16" i="63" s="1"/>
  <c r="K50" i="16"/>
  <c r="N50" i="16" s="1"/>
  <c r="K40" i="15"/>
  <c r="G34" i="16"/>
  <c r="G35" i="16" s="1"/>
  <c r="S34" i="16"/>
  <c r="W34" i="16" s="1"/>
  <c r="O34" i="16"/>
  <c r="Q34" i="16" s="1"/>
  <c r="S35" i="16"/>
  <c r="W35" i="16" s="1"/>
  <c r="O35" i="16"/>
  <c r="Q35" i="16" s="1"/>
  <c r="K49" i="15"/>
  <c r="N49" i="15" s="1"/>
  <c r="B50" i="15"/>
  <c r="Q50" i="15"/>
  <c r="T50" i="15" s="1"/>
  <c r="K29" i="15"/>
  <c r="K30" i="15"/>
  <c r="C30" i="16"/>
  <c r="C29" i="16"/>
  <c r="B23" i="50"/>
  <c r="D23" i="50" s="1"/>
  <c r="B44" i="50" s="1"/>
  <c r="D44" i="50" s="1"/>
  <c r="B34" i="50"/>
  <c r="D34" i="50" s="1"/>
  <c r="B24" i="50"/>
  <c r="D24" i="50" s="1"/>
  <c r="B17" i="50"/>
  <c r="M32" i="23"/>
  <c r="K45" i="16"/>
  <c r="B49" i="15"/>
  <c r="B16" i="15"/>
  <c r="N28" i="22"/>
  <c r="O28" i="22" s="1"/>
  <c r="R28" i="22" s="1"/>
  <c r="D28" i="22" s="1"/>
  <c r="E28" i="22" s="1"/>
  <c r="M22" i="20"/>
  <c r="B23" i="20"/>
  <c r="M23" i="20" s="1"/>
  <c r="M21" i="22"/>
  <c r="B22" i="22"/>
  <c r="M22" i="22" s="1"/>
  <c r="B30" i="15"/>
  <c r="B95" i="15" s="1"/>
  <c r="C95" i="15" s="1"/>
  <c r="B12" i="15"/>
  <c r="B13" i="15" s="1"/>
  <c r="L34" i="15" s="1"/>
  <c r="N29" i="20"/>
  <c r="O29" i="20" s="1"/>
  <c r="R29" i="20" s="1"/>
  <c r="D29" i="20" s="1"/>
  <c r="E29" i="20" s="1"/>
  <c r="N28" i="23"/>
  <c r="O28" i="23" s="1"/>
  <c r="R28" i="23" s="1"/>
  <c r="D28" i="23" s="1"/>
  <c r="E28" i="23" s="1"/>
  <c r="M32" i="22"/>
  <c r="B33" i="22"/>
  <c r="M33" i="22" s="1"/>
  <c r="C18" i="23"/>
  <c r="C19" i="23" s="1"/>
  <c r="C23" i="8"/>
  <c r="L9" i="23"/>
  <c r="G9" i="23"/>
  <c r="N19" i="20"/>
  <c r="O19" i="20" s="1"/>
  <c r="R19" i="20" s="1"/>
  <c r="D19" i="20" s="1"/>
  <c r="E19" i="20" s="1"/>
  <c r="C20" i="20"/>
  <c r="C30" i="22"/>
  <c r="N29" i="22"/>
  <c r="O29" i="22" s="1"/>
  <c r="R29" i="22" s="1"/>
  <c r="D29" i="22" s="1"/>
  <c r="E29" i="22" s="1"/>
  <c r="C30" i="23"/>
  <c r="N29" i="23"/>
  <c r="O29" i="23" s="1"/>
  <c r="R29" i="23" s="1"/>
  <c r="D29" i="23" s="1"/>
  <c r="E29" i="23" s="1"/>
  <c r="C19" i="22"/>
  <c r="N18" i="22"/>
  <c r="O18" i="22" s="1"/>
  <c r="R18" i="22" s="1"/>
  <c r="D18" i="22" s="1"/>
  <c r="E18" i="22" s="1"/>
  <c r="L9" i="22"/>
  <c r="N30" i="20"/>
  <c r="O30" i="20" s="1"/>
  <c r="R30" i="20" s="1"/>
  <c r="D30" i="20" s="1"/>
  <c r="E30" i="20" s="1"/>
  <c r="C31" i="20"/>
  <c r="B91" i="15" l="1"/>
  <c r="C91" i="15" s="1"/>
  <c r="C15" i="63"/>
  <c r="B90" i="15"/>
  <c r="C90" i="15" s="1"/>
  <c r="C16" i="63"/>
  <c r="C60" i="63" s="1"/>
  <c r="C61" i="63" s="1"/>
  <c r="C63" i="63" s="1"/>
  <c r="C64" i="63" s="1"/>
  <c r="B99" i="16"/>
  <c r="C99" i="16" s="1"/>
  <c r="G12" i="63"/>
  <c r="G38" i="63" s="1"/>
  <c r="C26" i="8"/>
  <c r="C18" i="8"/>
  <c r="B16" i="49"/>
  <c r="B24" i="49"/>
  <c r="B17" i="15"/>
  <c r="B34" i="15"/>
  <c r="G13" i="63" s="1"/>
  <c r="D50" i="16"/>
  <c r="B90" i="16"/>
  <c r="C90" i="16" s="1"/>
  <c r="D30" i="15"/>
  <c r="D50" i="15"/>
  <c r="D44" i="16"/>
  <c r="M44" i="16" s="1"/>
  <c r="T34" i="15"/>
  <c r="K44" i="16"/>
  <c r="B23" i="15"/>
  <c r="D23" i="15" s="1"/>
  <c r="B44" i="15" s="1"/>
  <c r="B99" i="15" s="1"/>
  <c r="C99" i="15" s="1"/>
  <c r="B24" i="15"/>
  <c r="D24" i="15" s="1"/>
  <c r="K34" i="15"/>
  <c r="O29" i="16"/>
  <c r="D29" i="16"/>
  <c r="O30" i="16"/>
  <c r="D30" i="16"/>
  <c r="Q50" i="16"/>
  <c r="T50" i="16" s="1"/>
  <c r="O50" i="16"/>
  <c r="M45" i="16"/>
  <c r="Q49" i="15"/>
  <c r="T49" i="15" s="1"/>
  <c r="D49" i="15"/>
  <c r="S29" i="15"/>
  <c r="L29" i="15"/>
  <c r="T29" i="15" s="1"/>
  <c r="S30" i="15"/>
  <c r="B29" i="15"/>
  <c r="B94" i="15" s="1"/>
  <c r="C94" i="15" s="1"/>
  <c r="U30" i="15"/>
  <c r="E21" i="1"/>
  <c r="B35" i="50"/>
  <c r="D35" i="50" s="1"/>
  <c r="B45" i="50"/>
  <c r="D45" i="50" s="1"/>
  <c r="N18" i="23"/>
  <c r="O18" i="23" s="1"/>
  <c r="R18" i="23" s="1"/>
  <c r="D18" i="23" s="1"/>
  <c r="E18" i="23" s="1"/>
  <c r="C20" i="22"/>
  <c r="N19" i="22"/>
  <c r="O19" i="22" s="1"/>
  <c r="R19" i="22" s="1"/>
  <c r="D19" i="22" s="1"/>
  <c r="E19" i="22" s="1"/>
  <c r="N31" i="20"/>
  <c r="O31" i="20" s="1"/>
  <c r="R31" i="20" s="1"/>
  <c r="D31" i="20" s="1"/>
  <c r="E31" i="20" s="1"/>
  <c r="C32" i="20"/>
  <c r="N30" i="22"/>
  <c r="O30" i="22" s="1"/>
  <c r="R30" i="22" s="1"/>
  <c r="D30" i="22" s="1"/>
  <c r="E30" i="22" s="1"/>
  <c r="C31" i="22"/>
  <c r="C20" i="23"/>
  <c r="N19" i="23"/>
  <c r="O19" i="23" s="1"/>
  <c r="R19" i="23" s="1"/>
  <c r="D19" i="23" s="1"/>
  <c r="E19" i="23" s="1"/>
  <c r="C31" i="23"/>
  <c r="N30" i="23"/>
  <c r="O30" i="23" s="1"/>
  <c r="R30" i="23" s="1"/>
  <c r="D30" i="23" s="1"/>
  <c r="E30" i="23" s="1"/>
  <c r="N20" i="20"/>
  <c r="O20" i="20" s="1"/>
  <c r="R20" i="20" s="1"/>
  <c r="D20" i="20" s="1"/>
  <c r="E20" i="20" s="1"/>
  <c r="C21" i="20"/>
  <c r="C31" i="8" l="1"/>
  <c r="C12" i="65"/>
  <c r="C15" i="65" s="1"/>
  <c r="C66" i="63"/>
  <c r="C65" i="63"/>
  <c r="C69" i="63" s="1"/>
  <c r="C46" i="63" s="1"/>
  <c r="G49" i="63"/>
  <c r="G51" i="63" s="1"/>
  <c r="G52" i="63" s="1"/>
  <c r="G54" i="63" s="1"/>
  <c r="G40" i="63"/>
  <c r="C38" i="63"/>
  <c r="C49" i="63" s="1"/>
  <c r="C51" i="63" s="1"/>
  <c r="C34" i="8"/>
  <c r="C32" i="8"/>
  <c r="B97" i="15"/>
  <c r="C97" i="15" s="1"/>
  <c r="C35" i="8"/>
  <c r="C33" i="8"/>
  <c r="P30" i="16"/>
  <c r="Q30" i="16" s="1"/>
  <c r="P29" i="16"/>
  <c r="Q29" i="16" s="1"/>
  <c r="W30" i="15"/>
  <c r="D44" i="15"/>
  <c r="D29" i="15"/>
  <c r="S34" i="15"/>
  <c r="W34" i="15" s="1"/>
  <c r="K35" i="15"/>
  <c r="S35" i="15" s="1"/>
  <c r="W35" i="15" s="1"/>
  <c r="B45" i="15"/>
  <c r="B100" i="15" s="1"/>
  <c r="C100" i="15" s="1"/>
  <c r="O34" i="15"/>
  <c r="K44" i="15"/>
  <c r="U29" i="15"/>
  <c r="W29" i="15" s="1"/>
  <c r="G34" i="15"/>
  <c r="B10" i="9" s="1"/>
  <c r="B60" i="9" s="1"/>
  <c r="B35" i="15"/>
  <c r="B98" i="15" s="1"/>
  <c r="C98" i="15" s="1"/>
  <c r="C33" i="20"/>
  <c r="N32" i="20"/>
  <c r="O32" i="20" s="1"/>
  <c r="R32" i="20" s="1"/>
  <c r="D32" i="20" s="1"/>
  <c r="E32" i="20" s="1"/>
  <c r="N21" i="20"/>
  <c r="O21" i="20" s="1"/>
  <c r="R21" i="20" s="1"/>
  <c r="D21" i="20" s="1"/>
  <c r="E21" i="20" s="1"/>
  <c r="C22" i="20"/>
  <c r="N20" i="23"/>
  <c r="O20" i="23" s="1"/>
  <c r="R20" i="23" s="1"/>
  <c r="D20" i="23" s="1"/>
  <c r="E20" i="23" s="1"/>
  <c r="C21" i="23"/>
  <c r="C32" i="23"/>
  <c r="N31" i="23"/>
  <c r="O31" i="23" s="1"/>
  <c r="R31" i="23" s="1"/>
  <c r="D31" i="23" s="1"/>
  <c r="E31" i="23" s="1"/>
  <c r="N31" i="22"/>
  <c r="O31" i="22" s="1"/>
  <c r="R31" i="22" s="1"/>
  <c r="D31" i="22" s="1"/>
  <c r="E31" i="22" s="1"/>
  <c r="C32" i="22"/>
  <c r="C21" i="22"/>
  <c r="N20" i="22"/>
  <c r="O20" i="22" s="1"/>
  <c r="R20" i="22" s="1"/>
  <c r="D20" i="22" s="1"/>
  <c r="E20" i="22" s="1"/>
  <c r="C40" i="63" l="1"/>
  <c r="C68" i="63"/>
  <c r="G46" i="63" s="1"/>
  <c r="C52" i="63"/>
  <c r="C54" i="63" s="1"/>
  <c r="G53" i="63"/>
  <c r="G56" i="63"/>
  <c r="G44" i="63" s="1"/>
  <c r="D45" i="15"/>
  <c r="O35" i="15"/>
  <c r="M44" i="15"/>
  <c r="K45" i="15"/>
  <c r="C29" i="50"/>
  <c r="D29" i="50" s="1"/>
  <c r="C30" i="50"/>
  <c r="D30" i="50" s="1"/>
  <c r="C30" i="15"/>
  <c r="C29" i="15"/>
  <c r="E10" i="9"/>
  <c r="G35" i="15"/>
  <c r="C35" i="15" s="1"/>
  <c r="D35" i="15" s="1"/>
  <c r="C34" i="15"/>
  <c r="C22" i="22"/>
  <c r="N21" i="22"/>
  <c r="O21" i="22" s="1"/>
  <c r="R21" i="22" s="1"/>
  <c r="D21" i="22" s="1"/>
  <c r="E21" i="22" s="1"/>
  <c r="C33" i="22"/>
  <c r="N32" i="22"/>
  <c r="O32" i="22" s="1"/>
  <c r="R32" i="22" s="1"/>
  <c r="D32" i="22" s="1"/>
  <c r="E32" i="22" s="1"/>
  <c r="N22" i="20"/>
  <c r="O22" i="20" s="1"/>
  <c r="R22" i="20" s="1"/>
  <c r="D22" i="20" s="1"/>
  <c r="E22" i="20" s="1"/>
  <c r="C23" i="20"/>
  <c r="N32" i="23"/>
  <c r="O32" i="23" s="1"/>
  <c r="R32" i="23" s="1"/>
  <c r="D32" i="23" s="1"/>
  <c r="E32" i="23" s="1"/>
  <c r="C33" i="23"/>
  <c r="C22" i="23"/>
  <c r="N21" i="23"/>
  <c r="O21" i="23" s="1"/>
  <c r="R21" i="23" s="1"/>
  <c r="D21" i="23" s="1"/>
  <c r="E21" i="23" s="1"/>
  <c r="N33" i="20"/>
  <c r="O33" i="20" s="1"/>
  <c r="R33" i="20" s="1"/>
  <c r="D33" i="20" s="1"/>
  <c r="E33" i="20" s="1"/>
  <c r="C34" i="20"/>
  <c r="C53" i="63" l="1"/>
  <c r="C56" i="63"/>
  <c r="C44" i="63" s="1"/>
  <c r="M45" i="15"/>
  <c r="D34" i="15"/>
  <c r="O29" i="15"/>
  <c r="P29" i="15" s="1"/>
  <c r="O30" i="15"/>
  <c r="P30" i="15" s="1"/>
  <c r="E10" i="1"/>
  <c r="E11" i="9"/>
  <c r="B21" i="1"/>
  <c r="B10" i="1"/>
  <c r="N33" i="22"/>
  <c r="O33" i="22" s="1"/>
  <c r="R33" i="22" s="1"/>
  <c r="D33" i="22" s="1"/>
  <c r="E33" i="22" s="1"/>
  <c r="N33" i="23"/>
  <c r="O33" i="23" s="1"/>
  <c r="R33" i="23" s="1"/>
  <c r="D33" i="23" s="1"/>
  <c r="E33" i="23" s="1"/>
  <c r="N34" i="20"/>
  <c r="O34" i="20" s="1"/>
  <c r="R34" i="20" s="1"/>
  <c r="D34" i="20" s="1"/>
  <c r="E34" i="20" s="1"/>
  <c r="N22" i="23"/>
  <c r="O22" i="23" s="1"/>
  <c r="R22" i="23" s="1"/>
  <c r="D22" i="23" s="1"/>
  <c r="E22" i="23" s="1"/>
  <c r="N23" i="20"/>
  <c r="O23" i="20" s="1"/>
  <c r="R23" i="20" s="1"/>
  <c r="D23" i="20" s="1"/>
  <c r="E23" i="20" s="1"/>
  <c r="N22" i="22"/>
  <c r="O22" i="22" s="1"/>
  <c r="R22" i="22" s="1"/>
  <c r="D22" i="22" s="1"/>
  <c r="E22" i="22" s="1"/>
  <c r="C34" i="1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<sst xmlns="http://schemas.openxmlformats.org/spreadsheetml/2006/main" count="5498" uniqueCount="4554">
  <si>
    <t>Valutazione Imposta alla fonte:</t>
  </si>
  <si>
    <t>Valutazione effettuata da:</t>
  </si>
  <si>
    <t>Calcolo del:</t>
  </si>
  <si>
    <t>CLIENTE</t>
  </si>
  <si>
    <t>Capitali investiti con detrazioni fiscali</t>
  </si>
  <si>
    <t>PARTNER</t>
  </si>
  <si>
    <t>Salario massimo assicurato</t>
  </si>
  <si>
    <t>Interesse annuo medio</t>
  </si>
  <si>
    <t>Aliquota di conversione</t>
  </si>
  <si>
    <t>25-35 anni</t>
  </si>
  <si>
    <t>35-45 anni</t>
  </si>
  <si>
    <t>45-55 anni</t>
  </si>
  <si>
    <t>55-65 anni</t>
  </si>
  <si>
    <t>Soglia entrata</t>
  </si>
  <si>
    <t>Reddito lordo</t>
  </si>
  <si>
    <t>Reddito di riferimento</t>
  </si>
  <si>
    <t>Salario assicurato</t>
  </si>
  <si>
    <t>Sviluppo</t>
  </si>
  <si>
    <t>Scala 44 01.01.2019</t>
  </si>
  <si>
    <t>Reddito Partner</t>
  </si>
  <si>
    <t>Reddito</t>
  </si>
  <si>
    <t>rendita</t>
  </si>
  <si>
    <t>Rendita Figli</t>
  </si>
  <si>
    <t>fino a</t>
  </si>
  <si>
    <t>Rendita Cliente</t>
  </si>
  <si>
    <t>Rendita con filgi</t>
  </si>
  <si>
    <t>Reddito cliente</t>
  </si>
  <si>
    <t>Rendita con coniuge</t>
  </si>
  <si>
    <t>Rendita massima:</t>
  </si>
  <si>
    <t>Rendita Cliente ridotta</t>
  </si>
  <si>
    <t>Rendita ridotta partner</t>
  </si>
  <si>
    <t>Situazione previdenziale per:</t>
  </si>
  <si>
    <t>Parametri di calcolo:</t>
  </si>
  <si>
    <t>Calcolo effettuato da:</t>
  </si>
  <si>
    <t>DATI FORNITI DAL CLIENTE:</t>
  </si>
  <si>
    <t>Calcolo previdenziale per:</t>
  </si>
  <si>
    <t>Nome e cognome</t>
  </si>
  <si>
    <t>Età</t>
  </si>
  <si>
    <t>Anni</t>
  </si>
  <si>
    <t>N. Figli minorenni o agli studi:</t>
  </si>
  <si>
    <t>n. figli</t>
  </si>
  <si>
    <t>Sesso (Uomo =1 / Donna = 0)</t>
  </si>
  <si>
    <t xml:space="preserve">1 / 0 </t>
  </si>
  <si>
    <t>Salario Attuale lordo annuo</t>
  </si>
  <si>
    <t>importo annuo</t>
  </si>
  <si>
    <t>Fabbisogno annuo (Pensione/invalid.)</t>
  </si>
  <si>
    <t>Impegni da liquidare entro il pens.</t>
  </si>
  <si>
    <t>Capitale</t>
  </si>
  <si>
    <t>Protezione salario malattia (%)</t>
  </si>
  <si>
    <t>percentuale</t>
  </si>
  <si>
    <t>Invalidità Lainf (%)</t>
  </si>
  <si>
    <t>Scala applicabile: (44?)</t>
  </si>
  <si>
    <t>numero scala</t>
  </si>
  <si>
    <t>Rendita LPP invalidità annua</t>
  </si>
  <si>
    <t>Rendita LPP per Pensione annua</t>
  </si>
  <si>
    <t xml:space="preserve">Si=1 /  No=0 </t>
  </si>
  <si>
    <t>Premio annuo</t>
  </si>
  <si>
    <t>Durata piano previdenziale</t>
  </si>
  <si>
    <t>Autofinanziamento in caso di incapacità lav.</t>
  </si>
  <si>
    <t>Rendita annua in caso di incapacità lavorativa:</t>
  </si>
  <si>
    <t>Capitale 3a alla pensione:</t>
  </si>
  <si>
    <t>Capitale assicurato in caso di decesso:</t>
  </si>
  <si>
    <t>Imposte Federali annue senza deduz. OPP3</t>
  </si>
  <si>
    <t>Imposte Cantonali annue senza deduz. OPP3</t>
  </si>
  <si>
    <t>Imposte Federali annue con deduz. OPP3</t>
  </si>
  <si>
    <t>Imposte Cantonali annue con deduz. OPP3</t>
  </si>
  <si>
    <t>Aliquiota per imposte Comunali (%)</t>
  </si>
  <si>
    <t>Aliquota %</t>
  </si>
  <si>
    <t>Imposte senza deduzioni OPP3 ecc.</t>
  </si>
  <si>
    <t>Imposte con deduzioni OPP3 ecc.</t>
  </si>
  <si>
    <t>Scala 44 AVS/AI/IPG - informazioni fornite dal cliente</t>
  </si>
  <si>
    <t>Eta'</t>
  </si>
  <si>
    <t>Anni Contribuzione</t>
  </si>
  <si>
    <t>Anni al pensionamento</t>
  </si>
  <si>
    <t>Reddito Annuo Desiderato (fabbisogno)</t>
  </si>
  <si>
    <t>Rendita annua AVS attesa</t>
  </si>
  <si>
    <t>Rendita annua LPP attesa</t>
  </si>
  <si>
    <t>Totale rendita di pensione attesa</t>
  </si>
  <si>
    <t>Reddito Annuo Mancante</t>
  </si>
  <si>
    <t>Cosa fareste se da domani dovessero mancarvi</t>
  </si>
  <si>
    <t>al mese?</t>
  </si>
  <si>
    <t>Questo e' esattamente quello che accadra' se non fate qualcosa per migliorare i vostri diritti previdenziali!</t>
  </si>
  <si>
    <t>Per mantenere la qualita' di vita attuale, necessitate entro il pensionamento:</t>
  </si>
  <si>
    <t>Reddito annuo mancante:</t>
  </si>
  <si>
    <t>Impegni dal liquidare entro il pensionamento:</t>
  </si>
  <si>
    <t>Totale necessario:</t>
  </si>
  <si>
    <t>Se si comincia a 25 anni</t>
  </si>
  <si>
    <t>Al 6% di interesse</t>
  </si>
  <si>
    <t>Se si comincia a 35 anni</t>
  </si>
  <si>
    <t>Se si comincia a 45 anni</t>
  </si>
  <si>
    <t>Se si comincia a 55 anni</t>
  </si>
  <si>
    <t>PROPOSTA PREVIDENZIALE PER:</t>
  </si>
  <si>
    <t>CAPITALI ASSICURATI</t>
  </si>
  <si>
    <t>Capitale alla pensione:</t>
  </si>
  <si>
    <t>Totale coperture e capitali per il cliente:</t>
  </si>
  <si>
    <t>CAPITALI INVESTITI</t>
  </si>
  <si>
    <t>Partecipazione fiscale annua (detrazione)</t>
  </si>
  <si>
    <t>Totale capitali investiti</t>
  </si>
  <si>
    <t>Protezione salario malattia in CHF:</t>
  </si>
  <si>
    <t>Indennità giorn. Infortunio</t>
  </si>
  <si>
    <t>Invalidità infortunio</t>
  </si>
  <si>
    <t>Rendita mensile AI da scala reale:</t>
  </si>
  <si>
    <t>Rendita Annuale AI</t>
  </si>
  <si>
    <t>Rendita AVS/AI post splitting e riduzione per coniugati (max. 150%)</t>
  </si>
  <si>
    <t>Rendita per figlio:</t>
  </si>
  <si>
    <t>Rendita per tutti i figli:</t>
  </si>
  <si>
    <t>Rendita LPP per figlio:</t>
  </si>
  <si>
    <t>Rendita LPP di tutti i figli:</t>
  </si>
  <si>
    <t>Rendita Vedovanza AI</t>
  </si>
  <si>
    <t>Rendita vedovanza AI senza figli</t>
  </si>
  <si>
    <t>Rendita Vedovanza LPP</t>
  </si>
  <si>
    <t>Vedovanza Lainf</t>
  </si>
  <si>
    <t>Vedovanza lainf senza figli</t>
  </si>
  <si>
    <t>Rendita orfanile Lainf</t>
  </si>
  <si>
    <t>Rendita massima di Vedovanza</t>
  </si>
  <si>
    <t>Rendita decesso infortunio con figli</t>
  </si>
  <si>
    <t>Rendita decesso infortunio senza figli</t>
  </si>
  <si>
    <t>Reddito in caso di Malattia</t>
  </si>
  <si>
    <t>Lacune</t>
  </si>
  <si>
    <t>Fabbisogno</t>
  </si>
  <si>
    <t>Inv. (senza Figli)</t>
  </si>
  <si>
    <t>Vedovanza caso malattia</t>
  </si>
  <si>
    <t>Vedovanza (con Figli):</t>
  </si>
  <si>
    <t>Vedovanza (senza Figli):</t>
  </si>
  <si>
    <t>Reddito in caso di Infortunio</t>
  </si>
  <si>
    <t>i.g. Inortunio</t>
  </si>
  <si>
    <t>Inv. Infortunio</t>
  </si>
  <si>
    <t>Vedovanza in caso di Infortunio</t>
  </si>
  <si>
    <t>Vedovanza (con Figli)</t>
  </si>
  <si>
    <t>Vedovanza (senza Figli)</t>
  </si>
  <si>
    <t>Pensione (senza Splitting:)</t>
  </si>
  <si>
    <t>AVS + LPP:</t>
  </si>
  <si>
    <t>Con splitting:</t>
  </si>
  <si>
    <t>scadenza</t>
  </si>
  <si>
    <t>oggi</t>
  </si>
  <si>
    <t>CONTROLLO VALIDITÀ:</t>
  </si>
  <si>
    <t>In altri paesi europei, dove la percentuale di persone anziane supera quella della svizzera, si puo'</t>
  </si>
  <si>
    <t>gia' riscontrare una generale indigenza tra le persone in eta' di pensionamento che non abbiano pensato</t>
  </si>
  <si>
    <t>in tempo ad una previdenza privata per la vecchiaia.</t>
  </si>
  <si>
    <t>controllo scadenza</t>
  </si>
  <si>
    <t>Partner</t>
  </si>
  <si>
    <t>Scala 44 2023 -  informazioni fornite dal cliente</t>
  </si>
  <si>
    <t>Sviluppo risparmio nel tempo solo risparmio attuale</t>
  </si>
  <si>
    <t>Anno</t>
  </si>
  <si>
    <t>Sviluppo risparmio</t>
  </si>
  <si>
    <t>Sviluppo risparmio nel tempo proposto</t>
  </si>
  <si>
    <t>Sviluppo reddito nel tempo situazione attuale</t>
  </si>
  <si>
    <t>Sviluppo reddito</t>
  </si>
  <si>
    <t>Sviluppo reddito nel tempo situazione proposto</t>
  </si>
  <si>
    <t>Sviluppo debiti nel tempo senza risparmio proposto</t>
  </si>
  <si>
    <t>Onere annuo leasing/debiti privati</t>
  </si>
  <si>
    <t>Sviluppo debiti nel tempo CON risparmio proposto</t>
  </si>
  <si>
    <t>Finanziabilità abitazione di proprietà PER:</t>
  </si>
  <si>
    <t>Reddito lordo annuo totale:</t>
  </si>
  <si>
    <t>Costi totali annui per per leasing e crediti</t>
  </si>
  <si>
    <t>Incassi totali annui per affitti (per case plurifamigliari)</t>
  </si>
  <si>
    <t>Risparmio annuo attuale:</t>
  </si>
  <si>
    <t>Contributi totali  annui LPP:</t>
  </si>
  <si>
    <t>Risparmio annuo proposto:</t>
  </si>
  <si>
    <t>SITUAZIONE ATTUALE PER IL FINANZIAMENTO:</t>
  </si>
  <si>
    <t>Finanziamento massimo, dato il capitale proprio cash + 3 pil.</t>
  </si>
  <si>
    <t>Finanziamento massimo dato il capitale proprio totale:</t>
  </si>
  <si>
    <t xml:space="preserve">Finanziamento massimo dato dalla sostenibilità del reddito: </t>
  </si>
  <si>
    <t>FINANZIABILITÀ NEL TEMPO CON RISPARMIO MENSILE:</t>
  </si>
  <si>
    <t>Calcolo variabili su capitale proprio:</t>
  </si>
  <si>
    <t>Calcolo variabili su sostenibilità</t>
  </si>
  <si>
    <t>Riporto</t>
  </si>
  <si>
    <t>cash + 3a/b</t>
  </si>
  <si>
    <t>LPP</t>
  </si>
  <si>
    <t>Finanziamento</t>
  </si>
  <si>
    <t>LIMITE DI ACQUISTO</t>
  </si>
  <si>
    <t>finanziabilità sulla base del cap kash</t>
  </si>
  <si>
    <t>Finanziabilità sulla base del cap proprio LPP compresa</t>
  </si>
  <si>
    <t>scelta il minore dei due sul capitale proprio:</t>
  </si>
  <si>
    <t>Sviluppo leasing</t>
  </si>
  <si>
    <t>progressione</t>
  </si>
  <si>
    <t>Costi annui per leasing, crediti privati</t>
  </si>
  <si>
    <t>Credito per finanziamento olte l'80%</t>
  </si>
  <si>
    <t>Capitale attuale su LPP per Abitazione</t>
  </si>
  <si>
    <t>Contributo annuo LPP totale</t>
  </si>
  <si>
    <t>Capitale disponibile x acquisto abitazione</t>
  </si>
  <si>
    <t>Risparmio attuale annuo</t>
  </si>
  <si>
    <t>Rsiparmio annuo per obiettivo abitazione</t>
  </si>
  <si>
    <t>Capitale disonibile per acquisto</t>
  </si>
  <si>
    <t>Altre forme di capitale (affitto con riscatto, fidejussioni, ecc..)</t>
  </si>
  <si>
    <t>Email</t>
  </si>
  <si>
    <t>Valori calcolati</t>
  </si>
  <si>
    <t>Anno di nascita</t>
  </si>
  <si>
    <t>Età attuale</t>
  </si>
  <si>
    <t>età entrata in CH</t>
  </si>
  <si>
    <t>Valore per calcolo scala</t>
  </si>
  <si>
    <t>Scala applicabile</t>
  </si>
  <si>
    <t>Cliente</t>
  </si>
  <si>
    <t>Finanziabilità per AFFITTO CON RISCATTO:</t>
  </si>
  <si>
    <t>Finanziabilità CON INTEGRAZIONE CREDITO:</t>
  </si>
  <si>
    <t>Capitale disponibile attualmente su LPP:</t>
  </si>
  <si>
    <t>NeoLife AG</t>
  </si>
  <si>
    <t>NOTE</t>
  </si>
  <si>
    <t>Coperture Cassa Malati per:</t>
  </si>
  <si>
    <t>Franchigia LAMAL</t>
  </si>
  <si>
    <t>COPERTURE ATTUALI</t>
  </si>
  <si>
    <t>Calcolo Casse Malati per</t>
  </si>
  <si>
    <t>Situazione Attuale:</t>
  </si>
  <si>
    <t>Copertura</t>
  </si>
  <si>
    <t>Rischio Spese</t>
  </si>
  <si>
    <t>Situazione Proposta:</t>
  </si>
  <si>
    <t>LAMAL</t>
  </si>
  <si>
    <t>Fitness e prevenzione</t>
  </si>
  <si>
    <t>Medicina alternativa</t>
  </si>
  <si>
    <t>Base (LAMAL)</t>
  </si>
  <si>
    <t>500 / 2000</t>
  </si>
  <si>
    <t>Verifica diritti di vedovanza:</t>
  </si>
  <si>
    <t>Il partner ha 45 anni? (1 / 0)</t>
  </si>
  <si>
    <t>Il partner è coniugato?</t>
  </si>
  <si>
    <t>Ci sono figli?</t>
  </si>
  <si>
    <t>Anno del matrimonio</t>
  </si>
  <si>
    <t>Da quanti anni sono sposati?</t>
  </si>
  <si>
    <t xml:space="preserve">Dirito a vedovanza: </t>
  </si>
  <si>
    <t>Per matrimonio</t>
  </si>
  <si>
    <t>per figli</t>
  </si>
  <si>
    <t>totale</t>
  </si>
  <si>
    <t>Diritto a vedovanza per il lui:</t>
  </si>
  <si>
    <t>Diritto a vedovanza per il moglie:</t>
  </si>
  <si>
    <t>Fabbisogno annuo in caso di vedovanza</t>
  </si>
  <si>
    <t>Diritto a invalidità:</t>
  </si>
  <si>
    <t>Da quanti anni in CH?</t>
  </si>
  <si>
    <t>Diritto da calcolo automatico:</t>
  </si>
  <si>
    <t xml:space="preserve">Diritto sulla base di ev. modifica aportata: </t>
  </si>
  <si>
    <t>Parametri preimpostati:</t>
  </si>
  <si>
    <t>CALCOLO PER IL FINANZIAMENTO DI UN ABITAZIONE DI PROPRIETÀ</t>
  </si>
  <si>
    <t>Oggetto:</t>
  </si>
  <si>
    <t>DATI GENERALI</t>
  </si>
  <si>
    <t>Valore di Acquisto:</t>
  </si>
  <si>
    <t>Acquisto o rifinanziamento? 0 = rifinanziamento, 1 = acquisto)</t>
  </si>
  <si>
    <t>Costi di rogito tot.:</t>
  </si>
  <si>
    <t>Costi di ristrutturazione:</t>
  </si>
  <si>
    <t>Progetto per ristrutturazione:</t>
  </si>
  <si>
    <t>Valore totale dell'investimento:</t>
  </si>
  <si>
    <t>Anni alla pensione (se persona fisica)</t>
  </si>
  <si>
    <t>Anni dell'ammortamento</t>
  </si>
  <si>
    <t>Parte dell'Ipoteca da ammortizzare:</t>
  </si>
  <si>
    <t>CALCOLO DEL CAPITALE PROPRPIO:</t>
  </si>
  <si>
    <t>Capitale proprio LPP</t>
  </si>
  <si>
    <t>Capitale proprio in lavori</t>
  </si>
  <si>
    <t>Capitale proprio totale:</t>
  </si>
  <si>
    <t>Capitale proprio minimo necessario:</t>
  </si>
  <si>
    <t>CALCOLO DELLA SOSTENIBILITÀ</t>
  </si>
  <si>
    <t>Interessi teorici max. Annui: (valore standard, 5%)</t>
  </si>
  <si>
    <t>Ammortamento annuo min. Obbl.</t>
  </si>
  <si>
    <t>Spese di manutenzione</t>
  </si>
  <si>
    <t>Onere teorico max. totale:</t>
  </si>
  <si>
    <t>Totale dei redditi lordi annui:</t>
  </si>
  <si>
    <t>Entrate da affitti:</t>
  </si>
  <si>
    <t>Percentuale di sostenibilità:</t>
  </si>
  <si>
    <t>Garanzia aggiuntiva: Vedi differenza con sostenibilità eredi in caso di decesso.</t>
  </si>
  <si>
    <t>RICHIESTA IPOTECARIA:</t>
  </si>
  <si>
    <t>Ipoteca 1. grado max:</t>
  </si>
  <si>
    <t>Ipoteca 2. grado max:</t>
  </si>
  <si>
    <t>Ipoteca max totale:</t>
  </si>
  <si>
    <t>Ipoteca richiesta:</t>
  </si>
  <si>
    <t xml:space="preserve">Calcolo per: </t>
  </si>
  <si>
    <t>Dati forniti dal cliente - parametri del mercato finanziario</t>
  </si>
  <si>
    <t xml:space="preserve">Anni alla pensione: </t>
  </si>
  <si>
    <t>il minore dei due</t>
  </si>
  <si>
    <t>Capitale proprio cash + 3 pilastri</t>
  </si>
  <si>
    <t>Annualità 3 pilastri nuovi</t>
  </si>
  <si>
    <t>Già versato, eredità, prestiti e altro</t>
  </si>
  <si>
    <t>età</t>
  </si>
  <si>
    <t>lavorava?</t>
  </si>
  <si>
    <t>%</t>
  </si>
  <si>
    <t>Accantonamento</t>
  </si>
  <si>
    <t xml:space="preserve">N anni lavorati: </t>
  </si>
  <si>
    <t xml:space="preserve">N anni lacuna: </t>
  </si>
  <si>
    <t xml:space="preserve">Capitale teoricamente accumulato: </t>
  </si>
  <si>
    <t xml:space="preserve">Totalae anni verametne lavorati con LPP: </t>
  </si>
  <si>
    <t>Il clinete ha già 50 anni? Allora 50%</t>
  </si>
  <si>
    <t>Il cliente ha già effettuato prelevamenti LPP?</t>
  </si>
  <si>
    <t>Verifica disponibilità minima teorica su LPP</t>
  </si>
  <si>
    <t xml:space="preserve">Totale disponibile: </t>
  </si>
  <si>
    <t>totale prelevabile (min 20K)</t>
  </si>
  <si>
    <t>NOTA PER IL CONSULENTE</t>
  </si>
  <si>
    <t>Usa questa tabella per correggere eventuali valori preimpostati dal calcolo automatizzato. Per modificare dati, elimina la protezione del foglio ed esegui le modifiche.</t>
  </si>
  <si>
    <t>Dati preimpostati per calcolo 3a cliente</t>
  </si>
  <si>
    <t>Dati preimpostati per calcolo previdenziale partner</t>
  </si>
  <si>
    <t>C</t>
  </si>
  <si>
    <t>MODULO DI CONTROLLO</t>
  </si>
  <si>
    <t xml:space="preserve">VERSAMENTO MENSILE CLIENTE: </t>
  </si>
  <si>
    <t>Lista di selezione per stato civile</t>
  </si>
  <si>
    <t>Tipo Permesso</t>
  </si>
  <si>
    <t>Svizzero nessun permesso</t>
  </si>
  <si>
    <t>B</t>
  </si>
  <si>
    <t>G</t>
  </si>
  <si>
    <t>L</t>
  </si>
  <si>
    <t>N</t>
  </si>
  <si>
    <t>F</t>
  </si>
  <si>
    <t>S</t>
  </si>
  <si>
    <t>Frequenza salario</t>
  </si>
  <si>
    <t>Tipo di reddito</t>
  </si>
  <si>
    <t>Fumatore o no</t>
  </si>
  <si>
    <t>Assicurato LPP</t>
  </si>
  <si>
    <t>Soglia di entrata LPP</t>
  </si>
  <si>
    <t>Indennità giornaliera Lainf (%)</t>
  </si>
  <si>
    <t xml:space="preserve">Ricerca versamento attuale: </t>
  </si>
  <si>
    <t>Cumulato</t>
  </si>
  <si>
    <t>Ha lavorato o lavorerà?</t>
  </si>
  <si>
    <t>Valori limite aggiornati al 01.01.2024</t>
  </si>
  <si>
    <t xml:space="preserve">Rendita di vecchiaia prevista: </t>
  </si>
  <si>
    <t>Importo assicurato minimo LPP</t>
  </si>
  <si>
    <t>Salario coordinato massimo assicurato LPP</t>
  </si>
  <si>
    <t>Reddito massimo assicurato: LPP</t>
  </si>
  <si>
    <t>Aliquota di conversione LPP</t>
  </si>
  <si>
    <t>Importo di coordinamento LPP</t>
  </si>
  <si>
    <t>Reddito assicurato LPP</t>
  </si>
  <si>
    <t>Reddito Assicurato LPP</t>
  </si>
  <si>
    <t xml:space="preserve">Nonmodificare la composizione di questa tabella, eventualmente aggiungi in basso. </t>
  </si>
  <si>
    <t>excel non adegua come con le formule il luogo in cui si trovano le sigle</t>
  </si>
  <si>
    <t>Uomo o donna</t>
  </si>
  <si>
    <t>Priorità</t>
  </si>
  <si>
    <t>Cassa Malati categoria</t>
  </si>
  <si>
    <t>Assoggettamento fiscale</t>
  </si>
  <si>
    <t>Interessato a sviluppo piano?</t>
  </si>
  <si>
    <t>Figlio</t>
  </si>
  <si>
    <t>Livello di studi</t>
  </si>
  <si>
    <t>Luogo degli studi</t>
  </si>
  <si>
    <t>Durata degli studi</t>
  </si>
  <si>
    <t>Livello degli studi</t>
  </si>
  <si>
    <t>Università</t>
  </si>
  <si>
    <t>COSTO presumibile</t>
  </si>
  <si>
    <t>Calcoli Studi:</t>
  </si>
  <si>
    <t>età studi</t>
  </si>
  <si>
    <t>Anni agli studi</t>
  </si>
  <si>
    <t>Tipo di studi desiderato per il figlio:</t>
  </si>
  <si>
    <t xml:space="preserve">Costo presumibile degli studi: </t>
  </si>
  <si>
    <t>Capitale già disponibile</t>
  </si>
  <si>
    <t xml:space="preserve">Capitale da reperire: </t>
  </si>
  <si>
    <t>Per garantire il futuro dei figli, necessitate in totale di: :</t>
  </si>
  <si>
    <t>Luogo in cui potrebbero studiare:</t>
  </si>
  <si>
    <t>Garantire gli studi a:</t>
  </si>
  <si>
    <t>GARANTIRE AI FIGLI IL FINANZIAMENTO DEGLI STUDI</t>
  </si>
  <si>
    <t>Livello di studio</t>
  </si>
  <si>
    <t>Tipo di scuola</t>
  </si>
  <si>
    <t>Tasse scolastiche annuali (CHF)</t>
  </si>
  <si>
    <t>Costi aggiuntivi annuali (CHF)</t>
  </si>
  <si>
    <t>Costi di alloggio annuali (CHF)</t>
  </si>
  <si>
    <t>Scuola secondaria II</t>
  </si>
  <si>
    <t>Pubblica</t>
  </si>
  <si>
    <t>Privata</t>
  </si>
  <si>
    <t>Scuole professionali superiori</t>
  </si>
  <si>
    <t>Pubblica/riconosciuta</t>
  </si>
  <si>
    <t>Durata degli studi possibile</t>
  </si>
  <si>
    <t>Costi a figlio mediamente applicati per gli studi in Svizzera</t>
  </si>
  <si>
    <t>diritto perché ha figli</t>
  </si>
  <si>
    <t>Sposato da almeno 5 anni?</t>
  </si>
  <si>
    <t>Ha 45 anni o più di età?</t>
  </si>
  <si>
    <t>Il cliente ha diritto a una rendita di vedovanza LPP se il partner decede?</t>
  </si>
  <si>
    <t>Il cliente ha diritto a una rendita di vedovanza AVS se il partner decede?</t>
  </si>
  <si>
    <t>Il cliente ha diritto a una rendita di vedovanza LAINF se il partner decede?</t>
  </si>
  <si>
    <t>Femmina? (se femmina 1 punto)</t>
  </si>
  <si>
    <t xml:space="preserve">Diritto per AVS: </t>
  </si>
  <si>
    <t>Diritto del partner in caso di vedovanza</t>
  </si>
  <si>
    <t>Sviluppo investimento per i figli nel tempo</t>
  </si>
  <si>
    <t>Con risparmio mensile proposto</t>
  </si>
  <si>
    <t>Interesse medio previsto:</t>
  </si>
  <si>
    <t>Testo se scaduto:</t>
  </si>
  <si>
    <t>Foglio di calcolo non autorizzato. Termine scaduto</t>
  </si>
  <si>
    <t xml:space="preserve">Note per richieste: </t>
  </si>
  <si>
    <t>Personalizzazione Calcolo tenuta oneri: Dati preimpostati per eventuale calcolo sostenibilità;</t>
  </si>
  <si>
    <t>Trasporto e salvataggio</t>
  </si>
  <si>
    <t>100% CH + MONDO</t>
  </si>
  <si>
    <t>90% Illimitato</t>
  </si>
  <si>
    <t>Coperture CM</t>
  </si>
  <si>
    <t>CHf 200.-- / 3 anni</t>
  </si>
  <si>
    <t>50% max CHF 500.--</t>
  </si>
  <si>
    <t>50% max CHF 2000.--</t>
  </si>
  <si>
    <t>Dentista adulti</t>
  </si>
  <si>
    <t>Dentista minorenni</t>
  </si>
  <si>
    <t>cure domiciliari</t>
  </si>
  <si>
    <t>Cure termali e convalescenza</t>
  </si>
  <si>
    <t>Checkup</t>
  </si>
  <si>
    <t>60% illimitato</t>
  </si>
  <si>
    <t>90% illimitato</t>
  </si>
  <si>
    <t>Prevenzione ginecologica</t>
  </si>
  <si>
    <t>Chec-kup</t>
  </si>
  <si>
    <t>Polizze Ass. del Cliente</t>
  </si>
  <si>
    <t xml:space="preserve">Vantaggio annuo: </t>
  </si>
  <si>
    <t>Premio mensile totale</t>
  </si>
  <si>
    <t>PRIMAFLEX SMART 2</t>
  </si>
  <si>
    <t>SOLUZIONE PROPOSTA</t>
  </si>
  <si>
    <t>RISCHI ASSICURATI</t>
  </si>
  <si>
    <t xml:space="preserve">Franchigia: </t>
  </si>
  <si>
    <t>0.-- per generici, farmacia, Servizio med. Tel.</t>
  </si>
  <si>
    <t>50% max CHF 1500.--</t>
  </si>
  <si>
    <t>Medicinali fuorilista</t>
  </si>
  <si>
    <t>Occhiali e lenti a contatto</t>
  </si>
  <si>
    <t>Libera scelta ospedali</t>
  </si>
  <si>
    <t>TOT.</t>
  </si>
  <si>
    <t xml:space="preserve">I DATI CHE SEGUONO VENGONO CALCOLATI AUTOMATICAMENTE DAL SISTEMA. SULLA BASE DEI MINIMI LEGALI. PER OTTENERE UNA CALCOLAZIONE PIÙ PRECISA, POSSONO ESSERE CALCOLATI MANUALMENTE, INSERENDONE QUI IL VALORE                                       </t>
  </si>
  <si>
    <t>------</t>
  </si>
  <si>
    <t>Fitness</t>
  </si>
  <si>
    <t>0.-- per gen., farm., med. Tel.</t>
  </si>
  <si>
    <t>Note</t>
  </si>
  <si>
    <t>FINANZIERUNG DER STUDIEN FÜR DIE KINDER SICHERSTELLEN</t>
  </si>
  <si>
    <t>Studium garantieren für:</t>
  </si>
  <si>
    <t>Alter</t>
  </si>
  <si>
    <t>Verbleibende Jahre</t>
  </si>
  <si>
    <t>Gewünschter Studientyp</t>
  </si>
  <si>
    <t>Ort, an dem sie studieren könnten</t>
  </si>
  <si>
    <t>Mögliche Studiendauer</t>
  </si>
  <si>
    <t>Voraussichtliche Studienkosten</t>
  </si>
  <si>
    <t>Bereits vorhandenes Kapital</t>
  </si>
  <si>
    <t>monatlichen Sparbetrag</t>
  </si>
  <si>
    <t>Erwarteter durchschnittlicher Zinssatz</t>
  </si>
  <si>
    <t>Zu beschaffendes Kapital</t>
  </si>
  <si>
    <t>Um die Zukunft der Kinder zu sichern, benötigen Sie insgesamt</t>
  </si>
  <si>
    <t xml:space="preserve">ERFORDERLICHER BETRAG </t>
  </si>
  <si>
    <t>Durchschnittliche Kosten pro Kind für Studiengebühren in CH</t>
  </si>
  <si>
    <t>Bildungsniveau</t>
  </si>
  <si>
    <t>Sekundarstufe II</t>
  </si>
  <si>
    <t>Universität</t>
  </si>
  <si>
    <t>Höhere Fachschulen</t>
  </si>
  <si>
    <t>Schultyp</t>
  </si>
  <si>
    <t>Jährliche Schulgebühren</t>
  </si>
  <si>
    <t>Jährliche Zusatzkosten</t>
  </si>
  <si>
    <t>Jährliche Wohnkoste</t>
  </si>
  <si>
    <t>Altersvorsorge</t>
  </si>
  <si>
    <t>Vorsorgeberechnung für:</t>
  </si>
  <si>
    <t>Beitragsjahre</t>
  </si>
  <si>
    <t>Jahre bis zur Pension</t>
  </si>
  <si>
    <t>Gewünschtes Jahresgehalt (Bedarf)</t>
  </si>
  <si>
    <t>Erwartete jährliche AHV-Rente</t>
  </si>
  <si>
    <t>Erwartete jährliche BVG-Rente</t>
  </si>
  <si>
    <t>Erwartete Gesamtrentenleistung</t>
  </si>
  <si>
    <t>Fehlendes Jahresgehalt</t>
  </si>
  <si>
    <t>Monatliches fehlendes Einkommen</t>
  </si>
  <si>
    <t>Um die aktuelle Lebensqualität aufrechtzuerhalten, benötigen Sie bis zur Pensionierung:</t>
  </si>
  <si>
    <t>Andere Verpflichtungen</t>
  </si>
  <si>
    <t>Benötigter Gesamtbetrag</t>
  </si>
  <si>
    <t>Tot. LAMAL + LCA - KVG + VVG</t>
  </si>
  <si>
    <t>Base (LAMAL) - Basis (KVG)</t>
  </si>
  <si>
    <t>CHf 200.-- / a.-J.</t>
  </si>
  <si>
    <t>Bedarf</t>
  </si>
  <si>
    <t>Krankheit Tagesgeld</t>
  </si>
  <si>
    <t>Unfall Tagesgeld</t>
  </si>
  <si>
    <t>Inv. ohne Kinderzusatz</t>
  </si>
  <si>
    <t>Inv. mit Kindernzusatz</t>
  </si>
  <si>
    <t>Witw. mit Kindernzusatz</t>
  </si>
  <si>
    <t>Witw. ohne Kinderzusatz</t>
  </si>
  <si>
    <t>Inv. Unfall</t>
  </si>
  <si>
    <t>AHV + BVG:</t>
  </si>
  <si>
    <t>Mit Splitting:</t>
  </si>
  <si>
    <t>Erträge bei Krankheit</t>
  </si>
  <si>
    <t>Ertrag</t>
  </si>
  <si>
    <t>Lücken</t>
  </si>
  <si>
    <t>Rendite aus 3. Säule</t>
  </si>
  <si>
    <t>VORSORGESITUATION FÜR:</t>
  </si>
  <si>
    <t>Berechnet von:</t>
  </si>
  <si>
    <t>Berechnungsparameter:</t>
  </si>
  <si>
    <t>Berechnung des:</t>
  </si>
  <si>
    <t>Scala 44 AHV/IV - vom Kunden bereitgestellten Daten</t>
  </si>
  <si>
    <t>Tabella traduzioni:</t>
  </si>
  <si>
    <t>ANALISI DEL FABBISOGNO</t>
  </si>
  <si>
    <t>versione</t>
  </si>
  <si>
    <t>version</t>
  </si>
  <si>
    <t>Dati obbligatori per ogni argomento</t>
  </si>
  <si>
    <t>Dati facoltativi generali per una maggiore precisione (in alternativa vengono calcolati dal sistema)</t>
  </si>
  <si>
    <t>Dati facoltativi per una maggior precisione in ogni singolo argomento</t>
  </si>
  <si>
    <t>Lingua scelta:</t>
  </si>
  <si>
    <t>Lingua</t>
  </si>
  <si>
    <t xml:space="preserve">Lingua scelta: </t>
  </si>
  <si>
    <t>Dati obbligatori per singolo argomento</t>
  </si>
  <si>
    <t>ANALYSE DES BESOINS</t>
  </si>
  <si>
    <t>Données qui doivent être saisies dans tous les cas</t>
  </si>
  <si>
    <t>Données qui doivent absolument être saisies si l'on souhaite analyser un thème particulier</t>
  </si>
  <si>
    <t>Données optionnelles pour plus de précision</t>
  </si>
  <si>
    <t>Données optionnelles pour plus de précision dans chaque thème particulier</t>
  </si>
  <si>
    <t>ANÁLISE DE NECESSIDADES</t>
  </si>
  <si>
    <t>versão</t>
  </si>
  <si>
    <t>Dados que devem ser inseridos em todos os casos</t>
  </si>
  <si>
    <t>Dados que devem ser inseridos obrigatoriamente se alguém quiser analisar um tema específico</t>
  </si>
  <si>
    <t>Dados opcionais para mais precisão</t>
  </si>
  <si>
    <t>Dados opcionais para mais precisão em cada tema específico</t>
  </si>
  <si>
    <t>IT</t>
  </si>
  <si>
    <t>DE</t>
  </si>
  <si>
    <t>FR</t>
  </si>
  <si>
    <t>PT</t>
  </si>
  <si>
    <t>RU</t>
  </si>
  <si>
    <t>EN</t>
  </si>
  <si>
    <t>АНАЛИЗ ПОТРЕБНОСТЕЙ</t>
  </si>
  <si>
    <t>версия</t>
  </si>
  <si>
    <t>Данные, которые необходимо ввести в любом случае</t>
  </si>
  <si>
    <t>Данные, которые обязательно нужно ввести, если вы хотите проанализировать отдельную тему</t>
  </si>
  <si>
    <t>Дополнительные данные для большей точности</t>
  </si>
  <si>
    <t>Дополнительные данные для большей точности в каждой отдельной теме</t>
  </si>
  <si>
    <t>NEEDS ANALYSIS</t>
  </si>
  <si>
    <t>Data that must be entered in any case</t>
  </si>
  <si>
    <t>Data that must be entered if one wants to analyze a specific topic</t>
  </si>
  <si>
    <t>Optional data for more accuracy</t>
  </si>
  <si>
    <t>Optional data for more accuracy in each specific topic</t>
  </si>
  <si>
    <t xml:space="preserve">SOGNI E OBIETTIVI </t>
  </si>
  <si>
    <t>TRÄUME UND ZIELE</t>
  </si>
  <si>
    <t>Godere della sicurezza finanziaria, qualunque cosa accada</t>
  </si>
  <si>
    <t>Finanzielle Sicherheit in allen Lebenslagen geniessen</t>
  </si>
  <si>
    <t>Acquistare e mantenere un abitazione di proprietà</t>
  </si>
  <si>
    <t>Eigenheim erwerben und halten</t>
  </si>
  <si>
    <t>Finanzielle Freiheit im Alter geniessen</t>
  </si>
  <si>
    <t>Sicurezza per Famiglia, Partner e Figli</t>
  </si>
  <si>
    <t>Sicherheit für Familie, Partner/in, Kinder</t>
  </si>
  <si>
    <t>Vantaggi fiscali</t>
  </si>
  <si>
    <t>Steuern sparen</t>
  </si>
  <si>
    <t>Vermögen aufbauen und vermehren</t>
  </si>
  <si>
    <t>Assicuraioni generali</t>
  </si>
  <si>
    <t>Allgemeine Versicherung</t>
  </si>
  <si>
    <t>0 - 10</t>
  </si>
  <si>
    <t>Particolari espressi dal cliente in merito ai suoi obiettivi e desideri</t>
  </si>
  <si>
    <t>Weitere Wünsche</t>
  </si>
  <si>
    <t>PROFILO DEL CLIENTE</t>
  </si>
  <si>
    <t>KUNDENPROFIL</t>
  </si>
  <si>
    <t xml:space="preserve">Stato civile (1=singole / 2 = coniugato / 3 = conviv.) </t>
  </si>
  <si>
    <t>Cognome e nome</t>
  </si>
  <si>
    <t>Data del matrimonio</t>
  </si>
  <si>
    <t xml:space="preserve">Uomo = 1 / Donna = 0 </t>
  </si>
  <si>
    <t>Mann = 1 / Frau = 0</t>
  </si>
  <si>
    <t>N. Telefono</t>
  </si>
  <si>
    <t>Telefonnummer</t>
  </si>
  <si>
    <t>Indirizzo</t>
  </si>
  <si>
    <t>Data di nascita</t>
  </si>
  <si>
    <t>RÊVES ET OBJECTIFS</t>
  </si>
  <si>
    <t>Profiter de la sécurité financière dans toutes les situations de la vie</t>
  </si>
  <si>
    <t>Acquérir et conserver sa propre maison</t>
  </si>
  <si>
    <t>Profiter de la liberté financière à la retraite</t>
  </si>
  <si>
    <t>Sécurité pour la famille, le/la partenaire, les enfants</t>
  </si>
  <si>
    <t>Économiser des impôts</t>
  </si>
  <si>
    <t>Accumuler et augmenter sa richesse</t>
  </si>
  <si>
    <t>Assurance générale</t>
  </si>
  <si>
    <t>Autres souhaits</t>
  </si>
  <si>
    <t>PROFIL CLIENT</t>
  </si>
  <si>
    <t>Nom et prénom</t>
  </si>
  <si>
    <t>État civil (1 = célibataire / 2 = marié(e) / 3 = partenaire)</t>
  </si>
  <si>
    <t>Date de mariage</t>
  </si>
  <si>
    <t>Homme = 1 / Femme = 0</t>
  </si>
  <si>
    <t>Numéro de téléphone</t>
  </si>
  <si>
    <t>Adresse</t>
  </si>
  <si>
    <t>Date de naissance</t>
  </si>
  <si>
    <t>SONHOS E OBJETIVOS</t>
  </si>
  <si>
    <t>Aproveitar a segurança financeira em todas as situações da vida</t>
  </si>
  <si>
    <t>Adquirir e manter a casa própria</t>
  </si>
  <si>
    <t>Aproveitar a liberdade financeira na aposentadoria</t>
  </si>
  <si>
    <t>Segurança para a família, parceiro/a, filhos</t>
  </si>
  <si>
    <t>Economizar impostos</t>
  </si>
  <si>
    <t>Construir e aumentar patrimônio</t>
  </si>
  <si>
    <t>Seguro geral</t>
  </si>
  <si>
    <t>Outros desejos</t>
  </si>
  <si>
    <t>PERFIL DO CLIENTE</t>
  </si>
  <si>
    <t>Nome e sobrenome</t>
  </si>
  <si>
    <t>Estado civil (1 = solteiro/a / 2 = casado/a / 3 = parceiro/a)</t>
  </si>
  <si>
    <t>Data do casamento</t>
  </si>
  <si>
    <t>Homem = 1 / Mulher = 0</t>
  </si>
  <si>
    <t>Número de telefone</t>
  </si>
  <si>
    <t>Endereço</t>
  </si>
  <si>
    <t>Data de nascimento</t>
  </si>
  <si>
    <t>МЕЧТЫ И ЦЕЛИ</t>
  </si>
  <si>
    <t>Пользоваться финансовой безопасностью в любых жизненных ситуациях</t>
  </si>
  <si>
    <t>Приобрести и поддерживать собственный дом</t>
  </si>
  <si>
    <t>Наслаждаться финансовой свободой на пенсии</t>
  </si>
  <si>
    <t>Безопасность для семьи, партнера, детей</t>
  </si>
  <si>
    <t>Экономить налоги</t>
  </si>
  <si>
    <t>Накопить и увеличить состояние</t>
  </si>
  <si>
    <t>Общее страхование</t>
  </si>
  <si>
    <t>Другие желания</t>
  </si>
  <si>
    <t>ПРОФИЛЬ КЛИЕНТА</t>
  </si>
  <si>
    <t>Фамилия и имя</t>
  </si>
  <si>
    <t>Семейное положение (1 = холост / 2 = женат / 3 = партнер)</t>
  </si>
  <si>
    <t>Дата свадьбы</t>
  </si>
  <si>
    <t>Мужчина = 1 / Женщина = 0</t>
  </si>
  <si>
    <t>Номер телефона</t>
  </si>
  <si>
    <t>Адрес</t>
  </si>
  <si>
    <t>Дата рождения</t>
  </si>
  <si>
    <t>DREAMS AND GOALS</t>
  </si>
  <si>
    <t>Enjoy financial security in all areas of life</t>
  </si>
  <si>
    <t>Acquire and maintain a home</t>
  </si>
  <si>
    <t>Enjoy financial freedom in retirement</t>
  </si>
  <si>
    <t>Security for family, partner, children</t>
  </si>
  <si>
    <t>Save on taxes</t>
  </si>
  <si>
    <t>Build and increase wealth</t>
  </si>
  <si>
    <t>General insurance</t>
  </si>
  <si>
    <t>Other wishes</t>
  </si>
  <si>
    <t>CLIENT PROFILE</t>
  </si>
  <si>
    <t>Last name and first name</t>
  </si>
  <si>
    <t>Marital status (1 = single / 2 = married / 3 = partner)</t>
  </si>
  <si>
    <t>Wedding date</t>
  </si>
  <si>
    <t>Man = 1 / Woman = 0</t>
  </si>
  <si>
    <t>Phone number</t>
  </si>
  <si>
    <t>Address</t>
  </si>
  <si>
    <t>Date of birth</t>
  </si>
  <si>
    <t>Kunde</t>
  </si>
  <si>
    <t>Клиент</t>
  </si>
  <si>
    <t>Партнёр</t>
  </si>
  <si>
    <t>Parceiro/a</t>
  </si>
  <si>
    <t>Customer</t>
  </si>
  <si>
    <t>Partenaire</t>
  </si>
  <si>
    <t>Client</t>
  </si>
  <si>
    <t>Nota</t>
  </si>
  <si>
    <t>Заметка</t>
  </si>
  <si>
    <t xml:space="preserve">N. figli minorenni o agli studi: </t>
  </si>
  <si>
    <t>Per i figli solo il meglio è sufficiente (Goete)</t>
  </si>
  <si>
    <t xml:space="preserve">Indicare anche il cognome se diverso da quello del cliente </t>
  </si>
  <si>
    <t>Geben Sie auch den Nachnamen an, wenn dieser vom Kunden abweicht</t>
  </si>
  <si>
    <t>Secondo figlio</t>
  </si>
  <si>
    <t>Primo figlio</t>
  </si>
  <si>
    <t>Ev altri figli</t>
  </si>
  <si>
    <t>Terzo figlio</t>
  </si>
  <si>
    <t>Cittadinanza</t>
  </si>
  <si>
    <t>Tipo permesso/i</t>
  </si>
  <si>
    <t>Auländerausweis</t>
  </si>
  <si>
    <t>Reddito LORDO</t>
  </si>
  <si>
    <t>Bruttoeinkommen</t>
  </si>
  <si>
    <t>Frequenza x1 o X12 o X13?</t>
  </si>
  <si>
    <t xml:space="preserve">Indennità Giorn.x infort % SUL REDDITO </t>
  </si>
  <si>
    <t xml:space="preserve">Indennità Giorn.x malattia % SUL REDDITO </t>
  </si>
  <si>
    <t>Da quando all'attuale domicilio</t>
  </si>
  <si>
    <t>Seit wann am aktuellen Wohnort</t>
  </si>
  <si>
    <t>Affitto mensile</t>
  </si>
  <si>
    <t>Monatliche Miete</t>
  </si>
  <si>
    <t>Jahr des ersten Beitrags in der Schweiz</t>
  </si>
  <si>
    <t>Monatlicher Bedarf bei Invalidität oder Rente</t>
  </si>
  <si>
    <t>Erforderliches Kapital zur Begleichung von Verpflichtungen im Todesfall</t>
  </si>
  <si>
    <t>Art der Einkommensquelle</t>
  </si>
  <si>
    <t>Professione appresa</t>
  </si>
  <si>
    <t>Erlernter Beruf</t>
  </si>
  <si>
    <t>Professione esercitata</t>
  </si>
  <si>
    <t>Ausgeübter Beruf</t>
  </si>
  <si>
    <t xml:space="preserve">Percentuale lavorativa </t>
  </si>
  <si>
    <t>Raucher oder Nichtraucher?</t>
  </si>
  <si>
    <t>BVG versichert (1=ja, / 0=Nein)?</t>
  </si>
  <si>
    <t>Krankentaggelversicherung? (1=ja, / 0=nein)</t>
  </si>
  <si>
    <t>Erstes Kind</t>
  </si>
  <si>
    <t>Zweites Kind</t>
  </si>
  <si>
    <t>Drittes Kind</t>
  </si>
  <si>
    <t>Premier enfant</t>
  </si>
  <si>
    <t>Deuxième enfant</t>
  </si>
  <si>
    <t>Troisième enfant</t>
  </si>
  <si>
    <t>Et autres enfants</t>
  </si>
  <si>
    <t>Primeiro filho</t>
  </si>
  <si>
    <t>Segundo filho</t>
  </si>
  <si>
    <t>Terceiro filho</t>
  </si>
  <si>
    <t>E outros filhos</t>
  </si>
  <si>
    <t>Первый ребенок</t>
  </si>
  <si>
    <t>Второй ребенок</t>
  </si>
  <si>
    <t>Третий ребенок</t>
  </si>
  <si>
    <t>И другие дети</t>
  </si>
  <si>
    <t>First child</t>
  </si>
  <si>
    <t>Second child</t>
  </si>
  <si>
    <t>Third child</t>
  </si>
  <si>
    <t>And other children</t>
  </si>
  <si>
    <t>N. enfants mineurs ou en études :</t>
  </si>
  <si>
    <t>Pour les enfants, seule la meilleure qualité est suffisante (Goethe)</t>
  </si>
  <si>
    <t>Veuillez également indiquer le nom de famille s'il diffère de celui du client.</t>
  </si>
  <si>
    <t>N. filhos menores ou em estudos:</t>
  </si>
  <si>
    <t>Para os filhos, apenas o melhor é suficiente (Goethe)</t>
  </si>
  <si>
    <t>Indique também o sobrenome se diferente do cliente.</t>
  </si>
  <si>
    <t>Количество несовершеннолетних детей или учащихся:</t>
  </si>
  <si>
    <t>Для детей достаточно только лучшего (Гёте)</t>
  </si>
  <si>
    <t>Укажите также фамилию, если она отличается от фамилии клиента.</t>
  </si>
  <si>
    <t>No. of minor children or those in education:</t>
  </si>
  <si>
    <t>For children, only the best is sufficient (Goethe)</t>
  </si>
  <si>
    <t>Please also indicate the surname if different from that of the client.</t>
  </si>
  <si>
    <t xml:space="preserve">Assicurato LPP (1=si, / 0=NO)? </t>
  </si>
  <si>
    <t>Assicuraz. AMPG (1=si, / 0=NO)</t>
  </si>
  <si>
    <t xml:space="preserve">Ev. prelevamenti gia fatti da LPP (importo) </t>
  </si>
  <si>
    <t>Nationalité</t>
  </si>
  <si>
    <t>Type de permis/s</t>
  </si>
  <si>
    <t>Revenu BRUT</t>
  </si>
  <si>
    <t>Fréquence x1 ou X12 ou X13?</t>
  </si>
  <si>
    <t>Année de la première contribution en Suisse</t>
  </si>
  <si>
    <t>Besoin vital mensuel minimum en cas de décès du conjoint</t>
  </si>
  <si>
    <t>Besoin mensuel en cas d'invalidité ou de pension :</t>
  </si>
  <si>
    <t>Capitaux nécessaires pour la liquidation des engagements en cas de décès</t>
  </si>
  <si>
    <t>Type de revenu</t>
  </si>
  <si>
    <t>Profession acquise</t>
  </si>
  <si>
    <t>Profession exercée</t>
  </si>
  <si>
    <t>Pourcentage de travail</t>
  </si>
  <si>
    <t>Assuré LPP (1=oui, / 0=NON)?</t>
  </si>
  <si>
    <t>Assuré AMPG (1=oui, / 0=NON)?</t>
  </si>
  <si>
    <t>Éventuels prélèvements déjà effectués par la LPP (montant)</t>
  </si>
  <si>
    <t>Loyer mensuel</t>
  </si>
  <si>
    <t>Depuis quand à l'adresse actuelle</t>
  </si>
  <si>
    <t>Indemnités journalières % SUR LE REVENUE</t>
  </si>
  <si>
    <t>Indemnités journalières % SUR LE REVENUE en cas de maladie</t>
  </si>
  <si>
    <t>Cidadania</t>
  </si>
  <si>
    <t>Tipo de permissão/ões</t>
  </si>
  <si>
    <t>Rendimento BRUTO</t>
  </si>
  <si>
    <t>Frequência x1 ou X12 ou X13?</t>
  </si>
  <si>
    <t>Ano da primeira contribuição na Suíça</t>
  </si>
  <si>
    <t>Necessidade mínima vital mensal em caso de falecimento do cônjuge</t>
  </si>
  <si>
    <t>Necessidade mensal em caso de invalidez ou aposentadoria:</t>
  </si>
  <si>
    <t>Capital necessário para liquidação de compromissos em caso de falecimento</t>
  </si>
  <si>
    <t>Tipo de rendimento</t>
  </si>
  <si>
    <t>Profissão adquirida</t>
  </si>
  <si>
    <t>Profissão exercida</t>
  </si>
  <si>
    <t>Percentagem de trabalho</t>
  </si>
  <si>
    <t>Segurado LPP (1=sim, / 0=NÃO)?</t>
  </si>
  <si>
    <t>Segurado AMPG (1=sim, / 0=NÃO)?</t>
  </si>
  <si>
    <t>v. retiradas já feitas da LPP (montante)</t>
  </si>
  <si>
    <t>Aluguel mensal</t>
  </si>
  <si>
    <t>Desde quando no atual domicílio</t>
  </si>
  <si>
    <t>Indemnização Diária % SOBRE O RENDIMENTO</t>
  </si>
  <si>
    <t>Indemnização Diária % SOBRE O RENDIMENTO em caso de doença</t>
  </si>
  <si>
    <t>Гражданство</t>
  </si>
  <si>
    <t>Тип разрешения/ий</t>
  </si>
  <si>
    <t>Брутто доход</t>
  </si>
  <si>
    <t>Частота x1 или X12 или X13?</t>
  </si>
  <si>
    <t>Год первого взноса в Швейцарии</t>
  </si>
  <si>
    <t>Минимальные жизненные расходы в месяц в случае смерти супруга</t>
  </si>
  <si>
    <t>Месячные расходы в случае инвалидности или пенсии:</t>
  </si>
  <si>
    <t>Необходимые средства для ликвидации обязательств в случае смерти</t>
  </si>
  <si>
    <t>ПРОБЕЛЫ: Годы без работы или безработицы</t>
  </si>
  <si>
    <t>Тип дохода</t>
  </si>
  <si>
    <t>Приобретённая профессия</t>
  </si>
  <si>
    <t>Исполняемая профессия</t>
  </si>
  <si>
    <t>Процент рабочего времени</t>
  </si>
  <si>
    <t>Застрахован по LPP (1=да, / 0=НЕТ)?</t>
  </si>
  <si>
    <t>Застрахован по AMPG (1=да, / 0=НЕТ)?</t>
  </si>
  <si>
    <t>Возможно, уже произведённые выводы из LPP (сумма)</t>
  </si>
  <si>
    <t>Ежемесячная аренда</t>
  </si>
  <si>
    <t>С какого времени по текущему адресу</t>
  </si>
  <si>
    <t>Ежедневные пособия % НА ДОХОД</t>
  </si>
  <si>
    <t>Ежедневные пособия % НА ДОХОД при болезни</t>
  </si>
  <si>
    <t>Citizenship</t>
  </si>
  <si>
    <t>Type of permit/s</t>
  </si>
  <si>
    <t>GROSS income</t>
  </si>
  <si>
    <t>Frequency x1 or X12 or X13?</t>
  </si>
  <si>
    <t>Year of the first contribution in Switzerland</t>
  </si>
  <si>
    <t>Minimum monthly living expenses in case of spouse's death</t>
  </si>
  <si>
    <t>Monthly needs in case of disability or pension:</t>
  </si>
  <si>
    <t>Necessary capital for the liquidation of commitments in case of death</t>
  </si>
  <si>
    <t>Type of income</t>
  </si>
  <si>
    <t>Acquired profession</t>
  </si>
  <si>
    <t>Profession exercised</t>
  </si>
  <si>
    <t>Percentage of working hours</t>
  </si>
  <si>
    <t>LPP insured (1=yes, / 0=NO)?</t>
  </si>
  <si>
    <t>AMPG insured (1=yes, / 0=NO)?</t>
  </si>
  <si>
    <t>Possible withdrawals already made from LPP (amount)</t>
  </si>
  <si>
    <t>Monthly rent</t>
  </si>
  <si>
    <t>Since when at the current address</t>
  </si>
  <si>
    <t>Daily allowance % ON INCOME</t>
  </si>
  <si>
    <t>Daily allowance % ON INCOME in case of illness</t>
  </si>
  <si>
    <t xml:space="preserve">RISPARMIO E INVESTIMENTO: LA REGOLA DEL 3X10% </t>
  </si>
  <si>
    <t>SPAREN UND INVESTIEREN: DIE 3X10% REGEL</t>
  </si>
  <si>
    <t>Figli</t>
  </si>
  <si>
    <t>Kinder</t>
  </si>
  <si>
    <t>Aktuelles monatliches Sparen</t>
  </si>
  <si>
    <t>Verfügbares Kapital</t>
  </si>
  <si>
    <t>in % der Freien Mittel</t>
  </si>
  <si>
    <t>Verfügbarkeit für eine Offerte 3. Säule (pro Monat)</t>
  </si>
  <si>
    <t>Kurzfr. - 0-3 /J. - 0.0%-0.2%</t>
  </si>
  <si>
    <t>Mittelfr.- 4-8 J. - 3%-5%</t>
  </si>
  <si>
    <t xml:space="preserve">Lungo Termine  &gt;9 ./ J. 18% - 21%, inclusi vantaggi fiscali </t>
  </si>
  <si>
    <t>Medio Termine 4-8 a. 3%-5%</t>
  </si>
  <si>
    <t>STEUERN SPAREN</t>
  </si>
  <si>
    <t xml:space="preserve">VANTAGGI FISCALI </t>
  </si>
  <si>
    <t xml:space="preserve">Terzi pilastri e investimenti attuali: società, premi, investimenti </t>
  </si>
  <si>
    <t>Jährlich gezahlte Steuern</t>
  </si>
  <si>
    <t>Ordentliche Versteuerung oder Quellensteuer?</t>
  </si>
  <si>
    <t>Sind 90% der Einkünfte aus der Schweiz?</t>
  </si>
  <si>
    <t xml:space="preserve">Già effettuata una verifica dei possibili risparmi fiscali(OPP3)?                                             </t>
  </si>
  <si>
    <t>Wurde bereits eine Überprüfung der möglichen Steuerersparnisse (Säule 3a) durchgeführt?</t>
  </si>
  <si>
    <t xml:space="preserve">Imposte pagate all'anno </t>
  </si>
  <si>
    <t xml:space="preserve">Tassazione ordinaria o alla fonte? </t>
  </si>
  <si>
    <t xml:space="preserve">90% dei redditi provengono da CH?         </t>
  </si>
  <si>
    <t xml:space="preserve">FINANZIABILITÀ E ABITAZIONE DI PROPRIETÀ  </t>
  </si>
  <si>
    <t>BVG für Wohneigentum verfügbar</t>
  </si>
  <si>
    <t>Kapital aus Erbschaften usw.</t>
  </si>
  <si>
    <t>Wert der selbst ausgeführten Arbeiten</t>
  </si>
  <si>
    <t>Monatliche Raten für Kredite oder Leasing</t>
  </si>
  <si>
    <t>Aktueller Betrag Schulden u.Privatkrediten</t>
  </si>
  <si>
    <t xml:space="preserve">CASH + 3 PIL + INVESTIMENTI      </t>
  </si>
  <si>
    <t xml:space="preserve">Capitale disponible su LPP per abitazione </t>
  </si>
  <si>
    <t xml:space="preserve">Capitali da eredità, ecc…    </t>
  </si>
  <si>
    <t>Valore dei lavori che potrebbe fare in proprio</t>
  </si>
  <si>
    <t xml:space="preserve">PROPOSTA DI FINANZIAMENTO O RIFINANZIAMENTO DI UN IMMOBILE -                           </t>
  </si>
  <si>
    <t>Beschreibung/Bezeichnung des Objekts:</t>
  </si>
  <si>
    <t>Ev. Mieteinnahmen JÄHRLICHER BETRAG</t>
  </si>
  <si>
    <t>Monatliche Rate für Hypothek oder Darlehen</t>
  </si>
  <si>
    <t>Hypothekenzinssatz</t>
  </si>
  <si>
    <t>Tilgung (Betrag und Art, dir./indir)</t>
  </si>
  <si>
    <t xml:space="preserve">Valore attuale dell'immobile o prezzo di acquisto: il minore dei due      </t>
  </si>
  <si>
    <t>Eventuali costi di ristrutturazione</t>
  </si>
  <si>
    <t>Descrizione/denominazione dell'oggetto:</t>
  </si>
  <si>
    <t>Eventuali incassi per affitti IMPORTO ANNUO</t>
  </si>
  <si>
    <t xml:space="preserve">Importo mensile di rate per Ipoteca o mutui </t>
  </si>
  <si>
    <t>Importo attuale del debito ipotecario</t>
  </si>
  <si>
    <t xml:space="preserve">Istituto di credito                       </t>
  </si>
  <si>
    <t xml:space="preserve">Tasso di interesse ipotecario </t>
  </si>
  <si>
    <t xml:space="preserve">Scadenza del contratto / tasso fisso / </t>
  </si>
  <si>
    <t xml:space="preserve">Ammortamento (importo e tipologia, dir./ indir) </t>
  </si>
  <si>
    <t xml:space="preserve">Compagnia LAMal                                       </t>
  </si>
  <si>
    <t xml:space="preserve">Compagnia LCA                                              </t>
  </si>
  <si>
    <t>VVG-Versicherungsgesellschaft</t>
  </si>
  <si>
    <t xml:space="preserve">Franchigia LAMal?                                  </t>
  </si>
  <si>
    <t xml:space="preserve">Franchigia desiderata?                        </t>
  </si>
  <si>
    <t xml:space="preserve">Categoria: 1=adulto/ 2=0-18 /3=g19-26  </t>
  </si>
  <si>
    <t xml:space="preserve">Stato di salute attuale?             </t>
  </si>
  <si>
    <t>Gesundheitszustand?</t>
  </si>
  <si>
    <t xml:space="preserve">ASSICURAZIONE SANITARIA   </t>
  </si>
  <si>
    <t>ÉPARGNE ET INVESTISSEMENT : LA RÈGLE DES 3X10%</t>
  </si>
  <si>
    <t>Troisièmes piliers et investissements actuels : sociétés, primes, investissements</t>
  </si>
  <si>
    <t>Enfants</t>
  </si>
  <si>
    <t>Épargne actuelle mensuelle</t>
  </si>
  <si>
    <t>Épargne idéale mensuelle (pour atteindre des objectifs)</t>
  </si>
  <si>
    <t>Capital disponible</t>
  </si>
  <si>
    <t>en % de la disponibilité</t>
  </si>
  <si>
    <t>Remarques pour une offre d'un plan d'épargne / 3e pilier :</t>
  </si>
  <si>
    <t>Disponibilité pour une offre d'épargne avec OPP3 : (par mois)</t>
  </si>
  <si>
    <t>Court terme - 0-3 ans - 0.0%-0.2%</t>
  </si>
  <si>
    <t>Moyen terme - 4-8 ans - 3%-5%</t>
  </si>
  <si>
    <t>Long terme &gt;9 ans : 18%-21%, y compris les avantages fiscaux</t>
  </si>
  <si>
    <t>AVANTAGES FISCAUX</t>
  </si>
  <si>
    <t>Impôts payés par an</t>
  </si>
  <si>
    <t>Imposition ordinaire ou à la source ?</t>
  </si>
  <si>
    <t>90% des revenus proviennent de la Suisse ?</t>
  </si>
  <si>
    <t>Avez-vous déjà vérifié les économies fiscales possibles (OPP3) ?</t>
  </si>
  <si>
    <t>FINANCEMENT ET PROPRIÉTÉ HABITATION</t>
  </si>
  <si>
    <t>CASH + 3 PIL + INVESTISSEMENTS</t>
  </si>
  <si>
    <t>Capital disponible sur LPP pour l'habitation</t>
  </si>
  <si>
    <t>Capitaux d'héritage, etc.</t>
  </si>
  <si>
    <t>Valeur des travaux que vous pourriez faire vous-même</t>
  </si>
  <si>
    <t>Montant mensuel des crédits ou leasing</t>
  </si>
  <si>
    <t>Montant actuel des dettes privées :</t>
  </si>
  <si>
    <t>PROPOSITION DE FINANCEMENT OU DE REFINANCEMENT D'UN BIEN IMMOBILIER</t>
  </si>
  <si>
    <t>Valeur actuelle du bien ou prix d'achat : le moindre des deux</t>
  </si>
  <si>
    <t>Éventuels coûts de restructuration</t>
  </si>
  <si>
    <t>Description/dénomination de l'objet :</t>
  </si>
  <si>
    <t>Éventuels revenus locatifs MONTANT ANNUEL</t>
  </si>
  <si>
    <t>Montant mensuel des mensualités pour hypothèque ou prêts</t>
  </si>
  <si>
    <t>Montant actuel de la dette hypothécaire</t>
  </si>
  <si>
    <t>Établissement de crédit</t>
  </si>
  <si>
    <t>Taux d'intérêt hypothécaire</t>
  </si>
  <si>
    <t>Date d'échéance du contrat / taux fixe</t>
  </si>
  <si>
    <t>Amortissement (montant et type, dir. / indir)</t>
  </si>
  <si>
    <t>ASSURANCE MALADIE</t>
  </si>
  <si>
    <t>COMBIEN PAYEZ-VOUS POUR LA CAISSE MALADIE PAR MOIS ?</t>
  </si>
  <si>
    <t>Compagnie LAMal</t>
  </si>
  <si>
    <t>Compagnie LCA</t>
  </si>
  <si>
    <t>Franchise LAMal ?</t>
  </si>
  <si>
    <t>Franchise souhaitée ?</t>
  </si>
  <si>
    <t>Catégorie : 1=adulte / 2=0-18 / 3=19-26</t>
  </si>
  <si>
    <t>État de santé actuel ?</t>
  </si>
  <si>
    <t>ECONOMIA E INVESTIMENTO: A REGRA DO 3X10%</t>
  </si>
  <si>
    <t>Terceiros pilares e investimentos atuais: sociedades, prêmios, investimentos</t>
  </si>
  <si>
    <t>Filhos</t>
  </si>
  <si>
    <t>Economia atual mensal</t>
  </si>
  <si>
    <t>Economia ideal mensal (para alcançar objetivos)</t>
  </si>
  <si>
    <t>Capital disponível</t>
  </si>
  <si>
    <t>em % da disponibilidade</t>
  </si>
  <si>
    <t>Observações para uma oferta de um plano de economia / 3º pilar:</t>
  </si>
  <si>
    <t>Disponível para oferta de economia com OPP3: (por mês)</t>
  </si>
  <si>
    <t>Curto prazo - 0-3 anos - 0,0%-0,2%</t>
  </si>
  <si>
    <t>Médio prazo - 4-8 anos - 3%-5%</t>
  </si>
  <si>
    <t>Longo prazo &gt;9 anos: 18%-21%, incluindo vantagens fiscais</t>
  </si>
  <si>
    <t>VANTAGENS FISCAIS</t>
  </si>
  <si>
    <t>Impostos pagos por ano</t>
  </si>
  <si>
    <t>Tributação ordinária ou na fonte?</t>
  </si>
  <si>
    <t>90% das receitas vêm da Suíça?</t>
  </si>
  <si>
    <t>Já foi feita uma verificação das possíveis economias fiscais (OPP3)?</t>
  </si>
  <si>
    <t>FINANCIAMENTO E HABITAÇÃO</t>
  </si>
  <si>
    <t>DINHEIRO + 3 PIL + INVESTIMENTOS</t>
  </si>
  <si>
    <t>Capital disponível no LPP para habitação</t>
  </si>
  <si>
    <t>Capital de herança, etc.</t>
  </si>
  <si>
    <t>Valor das obras que você pode fazer por conta própria</t>
  </si>
  <si>
    <t>Montante mensal de prestações para crédito ou leasing</t>
  </si>
  <si>
    <t>Montante atual das dívidas de crédito privado:</t>
  </si>
  <si>
    <t>PROPOSTA DE FINANCIAMENTO OU REFINANCIAMENTO DE UM IMÓVEL</t>
  </si>
  <si>
    <t>Valor atual do imóvel ou preço de compra: o menor dos dois</t>
  </si>
  <si>
    <t>Eventuais custos de reestruturação</t>
  </si>
  <si>
    <t>Descrição/denominação do objeto:</t>
  </si>
  <si>
    <t>Eventuais receitas de aluguéis VALOR ANUAL</t>
  </si>
  <si>
    <t>Montante mensal de prestações para hipoteca ou empréstimos</t>
  </si>
  <si>
    <t>Montante atual da dívida hipotecária</t>
  </si>
  <si>
    <t>Instituição de crédito</t>
  </si>
  <si>
    <t>Taxa de juro hipotecário</t>
  </si>
  <si>
    <t>Data de vencimento do contrato / taxa fixa</t>
  </si>
  <si>
    <t>Amortização (montante e tipo, dir. / indir)</t>
  </si>
  <si>
    <t>SEGURO DE SAÚDE</t>
  </si>
  <si>
    <t>QUANTO VOCÊ PAGA PELO PLANO DE SAÚDE POR MÊS?</t>
  </si>
  <si>
    <t>Companhia LAMal</t>
  </si>
  <si>
    <t>Companhia LCA</t>
  </si>
  <si>
    <t>Franquia LAMal?</t>
  </si>
  <si>
    <t>Franquia desejada?</t>
  </si>
  <si>
    <t>Categoria: 1=adulto / 2=0-18 / 3=19-26</t>
  </si>
  <si>
    <t>Estado de saúde atual?</t>
  </si>
  <si>
    <t>СБЕРЕЖЕНИЯ И ИНВЕСТИЦИИ: ПРАВИЛО 3X10%</t>
  </si>
  <si>
    <t>Третьи столпы и текущие инвестиции: компании, премии, инвестиции</t>
  </si>
  <si>
    <t>Дети</t>
  </si>
  <si>
    <t>Текущие месячные сбережения</t>
  </si>
  <si>
    <t>Идеальные месячные сбережения (для достижения целей)</t>
  </si>
  <si>
    <t>Доступный капитал</t>
  </si>
  <si>
    <t>в % от доступности</t>
  </si>
  <si>
    <t>Примечания для предложения плана сбережений / 3-й столп:</t>
  </si>
  <si>
    <t>Доступно для предложения сбережений с OPP3: (в месяц)</t>
  </si>
  <si>
    <t>Краткосрочные - 0-3 года - 0,0%-0,2%</t>
  </si>
  <si>
    <t>Среднесрочные - 4-8 лет - 3%-5%</t>
  </si>
  <si>
    <t>Долгосрочные &gt;9 лет: 18%-21%, включая налоговые преимущества</t>
  </si>
  <si>
    <t>НАЛОГОВЫЕ ПРЕИМУЩЕСТВА</t>
  </si>
  <si>
    <t>Налоги, уплаченные за год</t>
  </si>
  <si>
    <t>Обычное или источниковое налогообложение?</t>
  </si>
  <si>
    <t>90% доходов поступает из Швейцарии?</t>
  </si>
  <si>
    <t>Уже проведена проверка возможных налоговых сбережений (OPP3)?</t>
  </si>
  <si>
    <t>ФИНАНСИРОВАНИЕ И ЖИЛЬЕ</t>
  </si>
  <si>
    <t>НАЛИЧНЫЕ + 3 ПИЛ + ИНВЕСТИЦИИ</t>
  </si>
  <si>
    <t>Доступный капитал по LPP для жилья</t>
  </si>
  <si>
    <t>Капиталы наследства и т.д.</t>
  </si>
  <si>
    <t>Оценка работ, которые вы могли бы сделать самостоятельно</t>
  </si>
  <si>
    <t>Ежемесячная сумма взносов по кредитам или лизингу</t>
  </si>
  <si>
    <t>Актуальная сумма долгов по частным кредитам:</t>
  </si>
  <si>
    <t>ПРЕДЛОЖЕНИЕ О ФИНАНСИРОВАНИИ ИЛИ РЕФИНАНСИРОВАНИИ НЕДВИЖИМОСТИ</t>
  </si>
  <si>
    <t>Актуальная стоимость имущества или цена покупки: меньшая из двух</t>
  </si>
  <si>
    <t>Возможные расходы на реструктуризацию</t>
  </si>
  <si>
    <t>Описание/наименование объекта:</t>
  </si>
  <si>
    <t>Возможные поступления от аренды ГОДОВАЯ СУММА</t>
  </si>
  <si>
    <t>Ежемесячная сумма взносов по ипотеке или займам</t>
  </si>
  <si>
    <t>Актуальная сумма ипотечного долга</t>
  </si>
  <si>
    <t>Кредитное учреждение</t>
  </si>
  <si>
    <t>Ипотечная ставка</t>
  </si>
  <si>
    <t>Срок действия контракта / фиксированная ставка</t>
  </si>
  <si>
    <t>Амортизация (сумма и тип, dir./ indir)</t>
  </si>
  <si>
    <t>МЕДИЦИНСКОЕ СТРАХОВАНИЕ</t>
  </si>
  <si>
    <t>СКОЛЬКО ВЫ ПЛАТИТЕ ЗА МЕДИЦИНСКУЮ СТРАХОВКУ В МЕСЯЦ?</t>
  </si>
  <si>
    <t>Компания LAMal</t>
  </si>
  <si>
    <t>Компания LCA</t>
  </si>
  <si>
    <t>Франшиза LAMal?</t>
  </si>
  <si>
    <t>Желаемая франшиза?</t>
  </si>
  <si>
    <t>Категория: 1=взрослый / 2=0-18 / 3=19-26</t>
  </si>
  <si>
    <t>Текущая состояние здоровья?</t>
  </si>
  <si>
    <t>SAVINGS AND INVESTMENT: THE 3X10% RULE</t>
  </si>
  <si>
    <t>Third pillars and current investments: companies, premiums, investments</t>
  </si>
  <si>
    <t>Children</t>
  </si>
  <si>
    <t>Current monthly savings</t>
  </si>
  <si>
    <t>Ideal monthly savings (to achieve goals)</t>
  </si>
  <si>
    <t>Available capital</t>
  </si>
  <si>
    <t>as a % of availability</t>
  </si>
  <si>
    <t>Notes for an offer of a savings plan / 3rd pillar:</t>
  </si>
  <si>
    <t>Available for savings offer with OPP3: (monthly)</t>
  </si>
  <si>
    <t>Short term - 0-3 years - 0.0%-0.2%</t>
  </si>
  <si>
    <t>Medium term - 4-8 years - 3%-5%</t>
  </si>
  <si>
    <t>Long term &gt;9 years: 18%-21%, including tax advantages</t>
  </si>
  <si>
    <t>TAX ADVANTAGES</t>
  </si>
  <si>
    <t>Taxes paid per year</t>
  </si>
  <si>
    <t>Ordinary or withholding taxation?</t>
  </si>
  <si>
    <t>90% of income comes from CH?</t>
  </si>
  <si>
    <t>Has a check of possible tax savings (OPP3) already been performed?</t>
  </si>
  <si>
    <t>FINANCING AND PROPERTY OWNERSHIP</t>
  </si>
  <si>
    <t>CASH + 3 PIL + INVESTMENTS</t>
  </si>
  <si>
    <t>Available capital on LPP for housing</t>
  </si>
  <si>
    <t>Capital from inheritance, etc.</t>
  </si>
  <si>
    <t>Value of works you could do yourself</t>
  </si>
  <si>
    <t>Monthly amount for credits or leasing</t>
  </si>
  <si>
    <t>Current amount of debts from private credits:</t>
  </si>
  <si>
    <t>PROPOSAL FOR FINANCING OR REFINANCING A PROPERTY</t>
  </si>
  <si>
    <t>Current value of the property or purchase price: the lower of the two</t>
  </si>
  <si>
    <t>Possible renovation costs</t>
  </si>
  <si>
    <t>Description/denomination of the object:</t>
  </si>
  <si>
    <t>Possible income from rents ANNUAL AMOUNT</t>
  </si>
  <si>
    <t>Monthly amount for mortgage or loans</t>
  </si>
  <si>
    <t>Current amount of mortgage debt</t>
  </si>
  <si>
    <t>Credit institution</t>
  </si>
  <si>
    <t>Mortgage interest rate</t>
  </si>
  <si>
    <t>Expiration of the contract / fixed rate</t>
  </si>
  <si>
    <t>Amortization (amount and type, direct / indirect)</t>
  </si>
  <si>
    <t>HEALTH INSURANCE</t>
  </si>
  <si>
    <t>HOW MUCH DO YOU PAY FOR HEALTH INSURANCE PER MONTH?</t>
  </si>
  <si>
    <t>LAMal Company</t>
  </si>
  <si>
    <t>LCA Company</t>
  </si>
  <si>
    <t>LAMal Deductible?</t>
  </si>
  <si>
    <t>Desired deductible?</t>
  </si>
  <si>
    <t>Category: 1=adult / 2=0-18 / 3=19-26</t>
  </si>
  <si>
    <t>Current health status?</t>
  </si>
  <si>
    <t xml:space="preserve">QUALI DI QUESTE COPERTURE SAREBBERO DESIDERATE SE COSTASSERO SOLO POCHI FRANCHI O SE FOSSERO COMPRESE? (0 / 1 per un analisi automatizzata) </t>
  </si>
  <si>
    <t>ESISTENTE PER CLIENTE?</t>
  </si>
  <si>
    <t>ESISTENTE?</t>
  </si>
  <si>
    <t>ESISTENTE PER PARTNER?</t>
  </si>
  <si>
    <t xml:space="preserve">DESIDERATA PER CLIENTE?  (1 / 0) </t>
  </si>
  <si>
    <t>DESIDERATA PER PARTNER? (1 / 0)</t>
  </si>
  <si>
    <t>DESIDERATA PER FIGLI?(1 / 0)</t>
  </si>
  <si>
    <t xml:space="preserve">Libera scelta medici e ospedali </t>
  </si>
  <si>
    <t>Freie Arzt- und Spitalwahl</t>
  </si>
  <si>
    <t>Rettung und Transport</t>
  </si>
  <si>
    <t>Brille und Kontaktlinsen</t>
  </si>
  <si>
    <t>Hauspflege</t>
  </si>
  <si>
    <t>Gynäkologische Vorsorge</t>
  </si>
  <si>
    <t>Komplemetärmedizin</t>
  </si>
  <si>
    <t>Nichtkassenpfl. Medikamente</t>
  </si>
  <si>
    <t>Sonstige Punte</t>
  </si>
  <si>
    <t xml:space="preserve">Trasporto e salvataggio </t>
  </si>
  <si>
    <t xml:space="preserve">Dentistista </t>
  </si>
  <si>
    <t xml:space="preserve">Occhiali e Lenti a contatto </t>
  </si>
  <si>
    <t xml:space="preserve">Assistenza domiciliare </t>
  </si>
  <si>
    <t xml:space="preserve">Prevenzione ginecologica </t>
  </si>
  <si>
    <t xml:space="preserve">Medicina alternativa </t>
  </si>
  <si>
    <t xml:space="preserve">Medicianli fuorilista </t>
  </si>
  <si>
    <t xml:space="preserve">Altro </t>
  </si>
  <si>
    <t>GEWÜNSCHT FÜR DEN KUNDEN? (1 / 0)</t>
  </si>
  <si>
    <t>GEWÜNSCHT FÜR DEN PARTNER? (1 / 0)</t>
  </si>
  <si>
    <t>GEWÜNSCHT FÜR KINDER? (1 / 0)</t>
  </si>
  <si>
    <t>SOUHAITÉ POUR LE CLIENT ? (1 / 0)</t>
  </si>
  <si>
    <t>SOUHAITÉ POUR LE PARTENAIRE ? (1 / 0)</t>
  </si>
  <si>
    <t>SOUHAITÉ POUR LES ENFANTS ? (1 / 0)</t>
  </si>
  <si>
    <t>BESTEHT FÜR DEN KUNDEN?</t>
  </si>
  <si>
    <t>BESTEHT FÜR DEN PARTNER?</t>
  </si>
  <si>
    <t>BESTEHT?</t>
  </si>
  <si>
    <t>EXISTE-T-IL POUR LE CLIENT ?</t>
  </si>
  <si>
    <t>EXISTE-T-IL POUR LE PARTENAIRE ?</t>
  </si>
  <si>
    <t>EXISTE-T-IL ?</t>
  </si>
  <si>
    <t>QUELLES COUVERTURES SOIENT SOUHAITABLES SI ELLES COÛTENT UNIQUEMENT QUELQUES FRANCS OU SI ELLES ÉTAIENT INCLUSES ? (0 / 1 pour une analyse automatique)</t>
  </si>
  <si>
    <t>Libre choix de médecins et hôpitaux</t>
  </si>
  <si>
    <t>Transport et sauvetage</t>
  </si>
  <si>
    <t>Dentiste</t>
  </si>
  <si>
    <t>Lunettes et lentilles de contact</t>
  </si>
  <si>
    <t>Assistance à domicile</t>
  </si>
  <si>
    <t>Check-up</t>
  </si>
  <si>
    <t>Prévention gynécologique</t>
  </si>
  <si>
    <t>Médecine alternative</t>
  </si>
  <si>
    <t>Médecins en dehors de l'hôpital</t>
  </si>
  <si>
    <t>Autre</t>
  </si>
  <si>
    <t>QUAIS DESTAS COBERTURAS SERIAM DESEJADAS SE CUSTASSEM APENAS ALGUNS FRANCS OU SE FOSSEM INCLUÍDAS? (0 / 1 para uma análise automatizada)</t>
  </si>
  <si>
    <t>EXISTE PARA O CLIENTE?</t>
  </si>
  <si>
    <t>EXISTE PARA O PARCEIRO?</t>
  </si>
  <si>
    <t>EXISTE?</t>
  </si>
  <si>
    <t>DESEJADA PARA O CLIENTE? (1 / 0)</t>
  </si>
  <si>
    <t>DESEJADA PARA O PARCEIRO? (1 / 0)</t>
  </si>
  <si>
    <t>DESEJADA PARA FILHOS? (1 / 0)</t>
  </si>
  <si>
    <t>Livre escolha de médicos e hospitais</t>
  </si>
  <si>
    <t>Transporte e salvamento</t>
  </si>
  <si>
    <t>Dentista</t>
  </si>
  <si>
    <t>Óculos e lentes de contato</t>
  </si>
  <si>
    <t>Assistência domiciliar</t>
  </si>
  <si>
    <t>Prevenção ginecológica</t>
  </si>
  <si>
    <t>Médicos fora da clínica</t>
  </si>
  <si>
    <t>Outro</t>
  </si>
  <si>
    <t>КАКИЕ ИЗ ЭТИХ ПОКРЫТИЙ БЫЛИ БЫ ЖЕЛАТЕЛЬНЫ, ЕСЛИ ОНИ СТОИЛИ ТОЛЬКО НЕСКОЛЬКО ФРАНКОВ ИЛИ БЫЛИ ВКЛЮЧЕНЫ? (0 / 1 для автоматического анализа)</t>
  </si>
  <si>
    <t>СУЩЕСТВУЕТ ДЛЯ КЛИЕНТА?</t>
  </si>
  <si>
    <t>СУЩЕСТВУЕТ ДЛЯ ПАРТНЁРА?</t>
  </si>
  <si>
    <t>СУЩЕСТВУЕТ?</t>
  </si>
  <si>
    <t>ЖЕЛАЕМО ДЛЯ КЛИЕНТА? (1 / 0)</t>
  </si>
  <si>
    <t>ЖЕЛАЕМО ДЛЯ ПАРТНЁРА? (1 / 0)</t>
  </si>
  <si>
    <t>ЖЕЛАЕМО ДЛЯ ДЕТЕЙ? (1 / 0)</t>
  </si>
  <si>
    <t>Свободный выбор врачей и больниц</t>
  </si>
  <si>
    <t>Транспорт и спасение</t>
  </si>
  <si>
    <t>Стоматолог</t>
  </si>
  <si>
    <t>Фитнес</t>
  </si>
  <si>
    <t>Очки и контактные линзы</t>
  </si>
  <si>
    <t>Домашний уход</t>
  </si>
  <si>
    <t>Проверка здоровья</t>
  </si>
  <si>
    <t>Гинекологическая профилактика</t>
  </si>
  <si>
    <t>Альтернативная медицина</t>
  </si>
  <si>
    <t>Врачи без клиники</t>
  </si>
  <si>
    <t>Другое</t>
  </si>
  <si>
    <t>WHICH OF THESE COVERAGES WOULD BE DESIRED IF THEY ONLY COST A FEW FRANCS OR IF THEY WERE INCLUDED? (0 / 1 for automated analysis)</t>
  </si>
  <si>
    <t>IS THERE FOR CLIENT?</t>
  </si>
  <si>
    <t>IS THERE FOR PARTNER?</t>
  </si>
  <si>
    <t>IS THERE?</t>
  </si>
  <si>
    <t>DESIRED FOR CLIENT? (1 / 0)</t>
  </si>
  <si>
    <t>DESIRED FOR PARTNER? (1 / 0)</t>
  </si>
  <si>
    <t>DESIRED FOR CHILDREN? (1 / 0)</t>
  </si>
  <si>
    <t>Free choice of doctors and hospitals</t>
  </si>
  <si>
    <t>Transport and rescue</t>
  </si>
  <si>
    <t>Dentist</t>
  </si>
  <si>
    <t>Glasses and contact lenses</t>
  </si>
  <si>
    <t>Home care</t>
  </si>
  <si>
    <t>Gynecological prevention</t>
  </si>
  <si>
    <t>Alternative medicine</t>
  </si>
  <si>
    <t>Outpatient doctors</t>
  </si>
  <si>
    <t>Other</t>
  </si>
  <si>
    <t>SACH- UND VERMÖGENSVERSICHERUNGEN</t>
  </si>
  <si>
    <t>PRIORITÄT</t>
  </si>
  <si>
    <t>PRÄMIE</t>
  </si>
  <si>
    <t>AKTUELLE VERSICHERUNGSGESELLSCHAFT</t>
  </si>
  <si>
    <t>Rechtsschutz</t>
  </si>
  <si>
    <t>Andere</t>
  </si>
  <si>
    <t xml:space="preserve">ASSICURAZIONI DI COSE E PATRIMONIALI                               </t>
  </si>
  <si>
    <t>PRIORITÀ</t>
  </si>
  <si>
    <t>PREMIO</t>
  </si>
  <si>
    <t xml:space="preserve">COMPAGNIA ATTUALE </t>
  </si>
  <si>
    <t xml:space="preserve">Assicurazione stabili </t>
  </si>
  <si>
    <t xml:space="preserve">Protezione giuridica </t>
  </si>
  <si>
    <t>ASSURANCES DES BIENS ET PATRIMOINE</t>
  </si>
  <si>
    <t>PRIORITÉ</t>
  </si>
  <si>
    <t>PRIME</t>
  </si>
  <si>
    <t>COMPAGNIE ACTUELLE</t>
  </si>
  <si>
    <t>Assurance habitation et RC</t>
  </si>
  <si>
    <t>Assurance immobilière</t>
  </si>
  <si>
    <t>Protection juridique</t>
  </si>
  <si>
    <t>Assurances automobiles</t>
  </si>
  <si>
    <t>Autres assurances :</t>
  </si>
  <si>
    <t>SEGUROS DE BENS E PATRIMÔNIO</t>
  </si>
  <si>
    <t>PRIORIDADE</t>
  </si>
  <si>
    <t>PRÊMIO</t>
  </si>
  <si>
    <t>COMPANHIA ATUAL</t>
  </si>
  <si>
    <t>Seguro de Economia Doméstica e RC</t>
  </si>
  <si>
    <t>Seguro de imóveis</t>
  </si>
  <si>
    <t>Proteção jurídica</t>
  </si>
  <si>
    <t>Seguros automotivos</t>
  </si>
  <si>
    <t>Outros seguros:</t>
  </si>
  <si>
    <t>СТРАХОВАНИЕ ИМУЩЕСТВА И АКТИВОВ</t>
  </si>
  <si>
    <t>ПРИОРИТЕТ</t>
  </si>
  <si>
    <t>ПРЕМИЯ</t>
  </si>
  <si>
    <t>АКТУАЛЬНАЯ КОМПАНИЯ</t>
  </si>
  <si>
    <t>Страхование домашнего имущества и ответственности</t>
  </si>
  <si>
    <t>Страхование недвижимости</t>
  </si>
  <si>
    <t>Юридическая защита</t>
  </si>
  <si>
    <t>Автомобильные страховки</t>
  </si>
  <si>
    <t>Другие страховки:</t>
  </si>
  <si>
    <t>PROPERTY AND ASSET INSURANCE</t>
  </si>
  <si>
    <t>PRIORITY</t>
  </si>
  <si>
    <t>PREMIUM</t>
  </si>
  <si>
    <t>CURRENT COMPANY</t>
  </si>
  <si>
    <t>Home and liability insurance</t>
  </si>
  <si>
    <t>Property insurance</t>
  </si>
  <si>
    <t>Legal protection</t>
  </si>
  <si>
    <t>Auto insurance</t>
  </si>
  <si>
    <t>Other insurance:</t>
  </si>
  <si>
    <t xml:space="preserve">Quanto potrebbe/vorrebbe  investire il cliente in totale al mese per il futuro dei propri figli? </t>
  </si>
  <si>
    <t xml:space="preserve">SICUREZZA E FUTURO DEI FIGLI  </t>
  </si>
  <si>
    <t xml:space="preserve">È interessato/a a un calcolo preventivo dei costi degli studi e dei relativi piani di finanziamento </t>
  </si>
  <si>
    <t xml:space="preserve">interessato a garantire la sicurezza del futuro dei figli anche in caso di invalidità o decesso? </t>
  </si>
  <si>
    <t xml:space="preserve">Piani di risparmio per i figli, società e risparmio mensile </t>
  </si>
  <si>
    <t xml:space="preserve">Luogo degli studi </t>
  </si>
  <si>
    <t xml:space="preserve">Durata degli studi </t>
  </si>
  <si>
    <t xml:space="preserve">COSTO presumibile  </t>
  </si>
  <si>
    <t xml:space="preserve">Capitale già disponibile </t>
  </si>
  <si>
    <t>SICHERHEIT UND ZUKUNFT DER KINDER</t>
  </si>
  <si>
    <t>Kind</t>
  </si>
  <si>
    <t>Ausbildungsniveau</t>
  </si>
  <si>
    <t>Ausbildungsort</t>
  </si>
  <si>
    <t>Studiendauer</t>
  </si>
  <si>
    <t>VORAUSSICHTLICHE KOSTEN</t>
  </si>
  <si>
    <t>Bereits verfügbares Kapital</t>
  </si>
  <si>
    <t>SÉCURITÉ ET AVENIR DES ENFANTS</t>
  </si>
  <si>
    <t>Êtes-vous intéressé(e) par un calcul préventif des coûts des études et des plans de financement associés ?</t>
  </si>
  <si>
    <t>Êtes-vous intéressé(e) à garantir la sécurité de l'avenir des enfants, même en cas d'invalidité ou de décès ?</t>
  </si>
  <si>
    <t>Plans d'épargne pour les enfants, société et épargne mensuelle</t>
  </si>
  <si>
    <t>Enfant</t>
  </si>
  <si>
    <t>Niveau d'études</t>
  </si>
  <si>
    <t>Lieu d'études</t>
  </si>
  <si>
    <t>Durée des études</t>
  </si>
  <si>
    <t>COÛT prévisible</t>
  </si>
  <si>
    <t>Capital déjà disponible</t>
  </si>
  <si>
    <t>Combien le client pourrait/voudrait investir au total par mois pour l'avenir de ses enfants ?</t>
  </si>
  <si>
    <t>SEGURANÇA E FUTURO DOS FILHOS</t>
  </si>
  <si>
    <t>Você está interessado em um cálculo preventivo dos custos dos estudos e dos planos de financiamento relacionados?</t>
  </si>
  <si>
    <t>Está interessado em garantir a segurança do futuro dos filhos, mesmo em caso de invalidez ou falecimento?</t>
  </si>
  <si>
    <t>Planos de poupança para filhos, sociedade e poupança mensal</t>
  </si>
  <si>
    <t>Filho</t>
  </si>
  <si>
    <t>Nível de estudos</t>
  </si>
  <si>
    <t>Local dos estudos</t>
  </si>
  <si>
    <t>Duração dos estudos</t>
  </si>
  <si>
    <t>CUSTO presumível</t>
  </si>
  <si>
    <t>Capital já disponível</t>
  </si>
  <si>
    <t>Quanto o cliente poderia/gostaria de investir no total por mês para o futuro de seus filhos?</t>
  </si>
  <si>
    <t>БЕЗОПАСНОСТЬ И БУДУЩЕЕ ДЕТЕЙ</t>
  </si>
  <si>
    <t>Вас интересует предварительный расчет стоимости обучения и соответствующих финансовых планов?</t>
  </si>
  <si>
    <t>Вы заинтересованы в обеспечении безопасности будущего ваших детей даже в случае инвалидности или смерти?</t>
  </si>
  <si>
    <t>Сбережения для детей, общество и ежемесячные сбережения</t>
  </si>
  <si>
    <t>Ребенок</t>
  </si>
  <si>
    <t>Уровень образования</t>
  </si>
  <si>
    <t>Место обучения</t>
  </si>
  <si>
    <t>Длительность обучения</t>
  </si>
  <si>
    <t>ПРЕДПОЛАГАЕМАЯ СТОИМОСТЬ</t>
  </si>
  <si>
    <t>Уже доступный капитал</t>
  </si>
  <si>
    <t>Сколько клиент мог бы/хотел бы инвестировать в месяц для будущего своих детей?</t>
  </si>
  <si>
    <t>SECURITY AND FUTURE OF CHILDREN</t>
  </si>
  <si>
    <t>Are you interested in a preliminary calculation of the costs of education and related financing plans?</t>
  </si>
  <si>
    <t>Are you interested in ensuring the security of the future of children, even in case of disability or death?</t>
  </si>
  <si>
    <t>Savings plans for children, company, and monthly savings</t>
  </si>
  <si>
    <t>Child</t>
  </si>
  <si>
    <t>Level of education</t>
  </si>
  <si>
    <t>Place of study</t>
  </si>
  <si>
    <t>Duration of studies</t>
  </si>
  <si>
    <t>ESTIMATED COST</t>
  </si>
  <si>
    <t>Capital already available</t>
  </si>
  <si>
    <t>How much could/would the client invest in total per month for the future of their children?</t>
  </si>
  <si>
    <t xml:space="preserve">VALUTAZIONE </t>
  </si>
  <si>
    <t>Diritto a vedovanza</t>
  </si>
  <si>
    <t xml:space="preserve">Diritto a rendite AI (5 anni di contr.) </t>
  </si>
  <si>
    <t xml:space="preserve">Rendita AVS/AI antesplitting </t>
  </si>
  <si>
    <t>Rendita AVS/AI Postsplitting</t>
  </si>
  <si>
    <t>Versamento mensile LPP da busta paga</t>
  </si>
  <si>
    <t xml:space="preserve">Rendita LPP in caso di invalidità </t>
  </si>
  <si>
    <t xml:space="preserve">Rendita LPP in caso di pensionamento </t>
  </si>
  <si>
    <t xml:space="preserve">Imposte annue con deduzione 3A </t>
  </si>
  <si>
    <t>BEWERTUNG</t>
  </si>
  <si>
    <t>Anspruch auf Witwenrente</t>
  </si>
  <si>
    <t>AHV/IV-Rente vor Splitting</t>
  </si>
  <si>
    <t>AHV/IV-Rente nach Splitting</t>
  </si>
  <si>
    <t>BVG-Rente bei Invalidität</t>
  </si>
  <si>
    <t>BVG-Rente im Alter</t>
  </si>
  <si>
    <t>Jährliche Steuern mit Abzug 3A</t>
  </si>
  <si>
    <t>ÉVALUATION</t>
  </si>
  <si>
    <t>Droit à la rente de veuvage</t>
  </si>
  <si>
    <t>Droit à la rente AI (5 ans de contrat)</t>
  </si>
  <si>
    <t>Rente AVS/AI avant le partage</t>
  </si>
  <si>
    <t>Rente AVS/AI après le partage</t>
  </si>
  <si>
    <t>Versement mensuel LPP de la fiche de paie</t>
  </si>
  <si>
    <t>Rente LPP en cas d'invalidité</t>
  </si>
  <si>
    <t>Rente LPP à la retraite</t>
  </si>
  <si>
    <t>Impôts annuels avec déduction 3A</t>
  </si>
  <si>
    <t>LES DONNÉES SUIVANTES SONT CALCULÉES AUTOMATIQUEMENT PAR LE SYSTÈME. SUR LA BASE DES MINIMAUX LÉGAUX. POUR OBTENIR UN CALCUL PLUS PRÉCIS, ELLES PEUVENT ÊTRE CALCULÉES MANUELLEMENT EN INSÉRANT ICI LA VALEUR.</t>
  </si>
  <si>
    <t>VALIAÇÃO</t>
  </si>
  <si>
    <t>Direito à pensão de viuvez</t>
  </si>
  <si>
    <t>Direito à renda AI (5 anos de contrato)</t>
  </si>
  <si>
    <t>Renda AVS/AI antes da divisão</t>
  </si>
  <si>
    <t>Renda AVS/AI após a divisão</t>
  </si>
  <si>
    <t>Pagamento mensal LPP do holerite</t>
  </si>
  <si>
    <t>Renda LPP em caso de invalidez</t>
  </si>
  <si>
    <t>Renda LPP em caso de aposentadoria</t>
  </si>
  <si>
    <t>Imposto anual com dedução 3A</t>
  </si>
  <si>
    <t>OS DADOS A SEGUIR SÃO CALCULADOS AUTOMATICAMENTE PELO SISTEMA. COM BASE NOS MÍNIMOS LEGAIS. PARA OBTER UM CÁLCULO MAIS PRECISO, PODERÃO SER CALCULADOS MANUALMENTE INSERINDO AQUI O VALOR.</t>
  </si>
  <si>
    <t>ОЦЕНКА</t>
  </si>
  <si>
    <t>Право на вдовью пенсию</t>
  </si>
  <si>
    <t>Право на пенсию по инвалидности (5 лет контракта)</t>
  </si>
  <si>
    <t>Пенсия AVS/AI до дележа</t>
  </si>
  <si>
    <t>Пенсия AVS/AI после дележа</t>
  </si>
  <si>
    <t>Ежемесячные выплаты LPP из расчетного листа</t>
  </si>
  <si>
    <t>Пенсия LPP при инвалидности</t>
  </si>
  <si>
    <t>Пенсия LPP по возрасту</t>
  </si>
  <si>
    <t>Годовые налоги с вычетом 3A</t>
  </si>
  <si>
    <t>ДАННЫЕ, УКАЗАННЫЕ НИЖЕ, АВТОМАТИЧЕСКИ РАСЧИТЫВАЮТСЯ СИСТЕМОЙ. НА ОСНОВЕ ЗАКОННЫХ МИНИМУМОВ. ДЛЯ ТОГО, ЧТОБЫ ПОЛУЧИТЬ БОЛЕЕ ТОЧНЫЙ РАСЧЕТ, ИХ МОЖНО РАСЧИТАТЬ ВРУЧНУЮ, ВВОДЯ ЗДЕСЬ ЗНАЧЕНИЕ.</t>
  </si>
  <si>
    <t>VALUATION</t>
  </si>
  <si>
    <t>Right to widow's pension</t>
  </si>
  <si>
    <t>Right to disability pension (5 years of contract)</t>
  </si>
  <si>
    <t>AVS/AI pension before splitting</t>
  </si>
  <si>
    <t>AVS/AI pension after splitting</t>
  </si>
  <si>
    <t>Monthly BVG payment from payroll</t>
  </si>
  <si>
    <t>BVG pension in case of disability</t>
  </si>
  <si>
    <t>BVG pension in case of retirement</t>
  </si>
  <si>
    <t>Annual taxes with 3A deduction</t>
  </si>
  <si>
    <t>THE FOLLOWING DATA ARE AUTOMATICALLY CALCULATED BY THE SYSTEM. BASED ON LEGAL MINIMUMS. TO OBTAIN A MORE ACCURATE CALCULATION, THEY CAN BE MANUALLY CALCULATED BY ENTERING THE VALUE HERE.</t>
  </si>
  <si>
    <t>AUSWERTUNG KRANKENVERS.</t>
  </si>
  <si>
    <t xml:space="preserve">Proposta CM Capofamiglia         </t>
  </si>
  <si>
    <t xml:space="preserve">Proposta CM Partner                     </t>
  </si>
  <si>
    <t xml:space="preserve">Proposta CM figlio 1                       </t>
  </si>
  <si>
    <t>Vorschlag Kind 2</t>
  </si>
  <si>
    <t>Vorschlag Kind 3</t>
  </si>
  <si>
    <t>Vorschläge andere Kinder</t>
  </si>
  <si>
    <t xml:space="preserve">Stampa per il cliente (o prepara in PDF se presenti online i seguenti documenti: </t>
  </si>
  <si>
    <t>Stampare i calcoli fiscali su moduli cantone e confederazione (vedi link precedenti)</t>
  </si>
  <si>
    <t xml:space="preserve">Stampare il presente modulo di analisi, per ripetizione presupposti di base in consulenza </t>
  </si>
  <si>
    <t xml:space="preserve">Stampare schemi fabbisogno, rendite e decesso per valutazione previedenziale </t>
  </si>
  <si>
    <t xml:space="preserve">Stampare calcolo finanziabilità o finanziamento se il cliente è interessato ad abitazione di proprietà  </t>
  </si>
  <si>
    <t>Preparare proposta previdenza nel sistema pronta per essere ev. inoltrata online (o stampare se non è possibile)</t>
  </si>
  <si>
    <t xml:space="preserve">PREPARAZIONE DELL'APPUNTAMETNO DI CONSULENZA </t>
  </si>
  <si>
    <t>Preparare sul sistema offerta CM, che potrà semmai in consulenza essere chiusa online</t>
  </si>
  <si>
    <t>VORBEREITUNG DES BERATUNGSTERMINS</t>
  </si>
  <si>
    <t>PRÉPARATION DU RENDEZ-VOUS DE CONSULTATION</t>
  </si>
  <si>
    <t>Impression pour le client (ou préparez en PDF si les documents suivants sont disponibles en ligne) :</t>
  </si>
  <si>
    <t>Si la caisse maladie est calculée uniquement sommairement sur le total, CM.TOT. Si elle est calculée pour chaque membre de la famille, toute la série CM 1, etc., y compris CM TOT si plusieurs membres de la famille sont concernés.</t>
  </si>
  <si>
    <t>Préparez le système d'offre CM, qui pourra éventuellement être conclu en ligne lors de la consultation -</t>
  </si>
  <si>
    <t>Imprimez les calculs fiscaux sur les formulaires cantonaux et fédéraux (voir les liens précédents)</t>
  </si>
  <si>
    <t>Imprimez ce module d'analyse pour répéter les hypothèses de base en consultation</t>
  </si>
  <si>
    <t>Imprimez les schémas de besoins, de rentes et de décès pour évaluer la prévoyance</t>
  </si>
  <si>
    <t>Imprimez le calcul de la financabilité ou de financement si le client est intéressé par un logement propre</t>
  </si>
  <si>
    <t>Préparez la proposition de prévoyance dans le système prête à être éventuellement envoyée en ligne (ou imprimez-la si cela n'est pas possible)</t>
  </si>
  <si>
    <t>PREPARAÇÃO DA REUNIÃO DE CONSULTA</t>
  </si>
  <si>
    <t>Impressão para o cliente (ou prepare em PDF se os seguintes documentos estiverem disponíveis online):</t>
  </si>
  <si>
    <t>Se a Caixa de Saúde for calculada apenas de forma resumida sobre o total, CM.TOT. Se for calculada para cada membro da família, toda a série CM 1, etc., incluindo CM TOT se vários membros da família forem afetados.</t>
  </si>
  <si>
    <t>Prepare o sistema de oferta CM, que poderá ser encerrado online durante a consulta -</t>
  </si>
  <si>
    <t>Imprima os cálculos fiscais em formulários cantonais e federais (veja os links anteriores)</t>
  </si>
  <si>
    <t>Imprima este módulo de análise para repetir os pressupostos básicos na consulta</t>
  </si>
  <si>
    <t>Imprima os esquemas de necessidade, pensões e falecimento para avaliação previdencial</t>
  </si>
  <si>
    <t>Imprima o cálculo da financiabilidade ou financiamento se o cliente estiver interessado em uma habitação própria</t>
  </si>
  <si>
    <t>Prepare a proposta de previdência no sistema pronta para ser enviada online, se possível (ou imprima se não for possível)</t>
  </si>
  <si>
    <t>ПОДГОТОВКА КОНСУЛЬТАЦИОННОЙ ВСТРЕЧИ</t>
  </si>
  <si>
    <t>Печать для клиента (или подготовьте в формате PDF, если следующие документы доступны онлайн):</t>
  </si>
  <si>
    <t>Если расчет медицинской страховки производится только приблизительно по общей сумме, CM.TOT. Если он рассчитывается для каждого члена семьи, вся серия CM 1 и т.д., включая CM TOT, если затрагиваются несколько членов семьи.</t>
  </si>
  <si>
    <t>Подготовьте систему предложений CM, которая может быть завершена онлайн во время консультации -</t>
  </si>
  <si>
    <t>Распечатайте налоговые расчеты по кантональным и федеральным формам (см. предыдущие ссылки)</t>
  </si>
  <si>
    <t>Распечатайте данный модуль анализа, чтобы повторить базовые предположения на консультации</t>
  </si>
  <si>
    <t>Распечатайте схемы потребностей, пенсий и смерти для оценки пенсионного обеспечения</t>
  </si>
  <si>
    <t>Распечатайте расчет финансирования или финансирование, если клиент заинтересован в собственности на жилье</t>
  </si>
  <si>
    <t>Подготовьте предложение по пенсионному обеспечению в системе, готовое к возможной отправке онлайн (или распечатайте, если это невозможно)</t>
  </si>
  <si>
    <t>PREPARATION OF THE CONSULTATION APPOINTMENT</t>
  </si>
  <si>
    <t>Print for the client (or prepare in PDF if the following documents are available online):</t>
  </si>
  <si>
    <t>If the health insurance is calculated only roughly on the total, CM.TOT. If calculated for each family member, the entire series CM 1, etc., including CM TOT if multiple family members are affected.</t>
  </si>
  <si>
    <t>Prepare the CM offer system, which may be completed online during the consultation -</t>
  </si>
  <si>
    <t>Print the tax calculations on canton and federal forms (see previous links)</t>
  </si>
  <si>
    <t>Print this analysis module to repeat the basic assumptions in the consultation</t>
  </si>
  <si>
    <t>Print needs, pensions, and death schemes for assessing the pension provision</t>
  </si>
  <si>
    <t>Print the financing calculation or financing if the client is interested in owning a home</t>
  </si>
  <si>
    <t>Prepare the pension proposal in the system ready to be possibly sent online (or print if not possible)</t>
  </si>
  <si>
    <t>ÉVALUATION DE LA CAISSE MALADIE</t>
  </si>
  <si>
    <t>Proposition CM Chef de famille</t>
  </si>
  <si>
    <t>Proposition CM Partenaire</t>
  </si>
  <si>
    <t>Proposition CM Enfant 1</t>
  </si>
  <si>
    <t>Proposition CM Enfant 2</t>
  </si>
  <si>
    <t>Proposition CM Enfant 3</t>
  </si>
  <si>
    <t>Autres enfants :</t>
  </si>
  <si>
    <t>TOTAL :</t>
  </si>
  <si>
    <t>AVALIAÇÃO DA CAIXA DE SAÚDE</t>
  </si>
  <si>
    <t>Proposta CM Chefe de família</t>
  </si>
  <si>
    <t>Proposta CM Parceiro</t>
  </si>
  <si>
    <t>Proposta CM Filho 1</t>
  </si>
  <si>
    <t>Proposta CM Filho 2</t>
  </si>
  <si>
    <t>Proposta CM Filho 3</t>
  </si>
  <si>
    <t>Outros filhos:</t>
  </si>
  <si>
    <t>TOTAL:</t>
  </si>
  <si>
    <t>ОЦЕНКА МЕДИЦИНСКОЙ СТРАХОВКИ</t>
  </si>
  <si>
    <t>Предложение CM Глава семьи</t>
  </si>
  <si>
    <t>Предложение CM Партнер</t>
  </si>
  <si>
    <t>Предложение CM Ребенок 1</t>
  </si>
  <si>
    <t>Предложение CM Ребенок 2</t>
  </si>
  <si>
    <t>Предложение CM Ребенок 3</t>
  </si>
  <si>
    <t>Другие дети:</t>
  </si>
  <si>
    <t>ИТОГО:</t>
  </si>
  <si>
    <t>VALUATION OF HEALTH INSURANCE</t>
  </si>
  <si>
    <t>Proposal CM Head of Family</t>
  </si>
  <si>
    <t>Proposal CM Partner</t>
  </si>
  <si>
    <t>Proposal CM Child 1</t>
  </si>
  <si>
    <t>Proposal CM Child 2</t>
  </si>
  <si>
    <t>Proposal CM Child 3</t>
  </si>
  <si>
    <t>Other children:</t>
  </si>
  <si>
    <t>Traduzione sigle per Analisi</t>
  </si>
  <si>
    <t xml:space="preserve">Dipendente </t>
  </si>
  <si>
    <t>Indipendente</t>
  </si>
  <si>
    <t>Disoccupazione</t>
  </si>
  <si>
    <t xml:space="preserve">Rendita / Pensione </t>
  </si>
  <si>
    <t xml:space="preserve">Nessun reddito </t>
  </si>
  <si>
    <t xml:space="preserve">Fumatore </t>
  </si>
  <si>
    <t xml:space="preserve">Non Fumatore </t>
  </si>
  <si>
    <t>10 - Priorità massima</t>
  </si>
  <si>
    <t>9 - Molto Importante</t>
  </si>
  <si>
    <t xml:space="preserve">8 - Importante </t>
  </si>
  <si>
    <t>7 - Sarebbe bello</t>
  </si>
  <si>
    <t>6 - Non mi dispiacerebbe</t>
  </si>
  <si>
    <t xml:space="preserve">5 - Perché no </t>
  </si>
  <si>
    <t xml:space="preserve">4 - Come ultima cosa </t>
  </si>
  <si>
    <t>3 - Indifferente</t>
  </si>
  <si>
    <t xml:space="preserve">2 - Non importante </t>
  </si>
  <si>
    <t xml:space="preserve">1 -  Non interessa </t>
  </si>
  <si>
    <t xml:space="preserve">0 - Non trattare </t>
  </si>
  <si>
    <t xml:space="preserve">Imposta alla fonte </t>
  </si>
  <si>
    <t xml:space="preserve">Tassazione ordinaria </t>
  </si>
  <si>
    <t xml:space="preserve">Imposta alla fonte con tassazione ordinaria volontaria </t>
  </si>
  <si>
    <t>Imposta alla fonte con tassazione ordinaria obbligatoria</t>
  </si>
  <si>
    <t>SI</t>
  </si>
  <si>
    <t>NO</t>
  </si>
  <si>
    <t>Nessuno</t>
  </si>
  <si>
    <t>Scuola professionale</t>
  </si>
  <si>
    <t>Scuola professionale superiore</t>
  </si>
  <si>
    <t>Cantone di domicilio</t>
  </si>
  <si>
    <t xml:space="preserve">Fuori Cantone </t>
  </si>
  <si>
    <t>50% max 30 g./anno</t>
  </si>
  <si>
    <t>90% / 3 anno</t>
  </si>
  <si>
    <t>CHf 200.-- / 3 anno</t>
  </si>
  <si>
    <t>Angestellter</t>
  </si>
  <si>
    <t>Selbstständig</t>
  </si>
  <si>
    <t>Arbeitslosigkeit</t>
  </si>
  <si>
    <t>Rente / Pension</t>
  </si>
  <si>
    <t>Kein Einkommen</t>
  </si>
  <si>
    <t>Anderes</t>
  </si>
  <si>
    <t>Raucher</t>
  </si>
  <si>
    <t>Nichtraucher</t>
  </si>
  <si>
    <t>10 - Höchste Priorität</t>
  </si>
  <si>
    <t>9 - Sehr wichtig</t>
  </si>
  <si>
    <t>8 - Wichtig</t>
  </si>
  <si>
    <t>5 - Warum nicht</t>
  </si>
  <si>
    <t>Quellensteuer</t>
  </si>
  <si>
    <t>Ordentliche Besteuerung</t>
  </si>
  <si>
    <t>Quellensteuer mit freiwilliger ordentlicher Besteuerung</t>
  </si>
  <si>
    <t>Quellensteuer mit obligatorischer ordentlicher Besteuerung</t>
  </si>
  <si>
    <t>JA</t>
  </si>
  <si>
    <t>NEIN</t>
  </si>
  <si>
    <t>Keiner</t>
  </si>
  <si>
    <t>Berufsschule</t>
  </si>
  <si>
    <t>Höhere Berufsschule</t>
  </si>
  <si>
    <t>Wohnkanton</t>
  </si>
  <si>
    <t>50% max 30 g./Jahr</t>
  </si>
  <si>
    <t>90% / 3 Jahre</t>
  </si>
  <si>
    <t>90% unbegrenzt</t>
  </si>
  <si>
    <t>0.-- pro gen., farm., med. Tel.</t>
  </si>
  <si>
    <t>60% unbegrenzt</t>
  </si>
  <si>
    <t>CHF 200.-- / a.-J.</t>
  </si>
  <si>
    <t>CHF 200.-- / 3 Jahre</t>
  </si>
  <si>
    <t>100% CH + WELT</t>
  </si>
  <si>
    <t>TRADUCTION DES SIGLES POUR ANALYSE</t>
  </si>
  <si>
    <t>Suisse sans permis de séjour</t>
  </si>
  <si>
    <t>Salarié</t>
  </si>
  <si>
    <t>Indépendant</t>
  </si>
  <si>
    <t>Chômage</t>
  </si>
  <si>
    <t>Aucun revenu</t>
  </si>
  <si>
    <t>Fumeur</t>
  </si>
  <si>
    <t>Non fumeur</t>
  </si>
  <si>
    <t>10 - Priorité maximale</t>
  </si>
  <si>
    <t>9 - Très important</t>
  </si>
  <si>
    <t>8 - Important</t>
  </si>
  <si>
    <t>7 - Ce serait bien</t>
  </si>
  <si>
    <t>6 - Cela me plairait</t>
  </si>
  <si>
    <t>5 - Pourquoi pas</t>
  </si>
  <si>
    <t>4 - En dernier recours</t>
  </si>
  <si>
    <t>3 - Indifférent</t>
  </si>
  <si>
    <t>2 - Pas important</t>
  </si>
  <si>
    <t>1 - N'intéresse pas</t>
  </si>
  <si>
    <t>0 - Ne pas traiter</t>
  </si>
  <si>
    <t>Impôt à la source</t>
  </si>
  <si>
    <t>Imposition ordinaire</t>
  </si>
  <si>
    <t>Impôt à la source avec imposition ordinaire volontaire</t>
  </si>
  <si>
    <t>Impôt à la source avec imposition ordinaire obligatoire</t>
  </si>
  <si>
    <t>OUI</t>
  </si>
  <si>
    <t>NON</t>
  </si>
  <si>
    <t>Aucun</t>
  </si>
  <si>
    <t>École professionnelle</t>
  </si>
  <si>
    <t>École professionnelle supérieure</t>
  </si>
  <si>
    <t>Université</t>
  </si>
  <si>
    <t>Canton de domicile</t>
  </si>
  <si>
    <t>Hors canton</t>
  </si>
  <si>
    <t>50% max 30 g./an</t>
  </si>
  <si>
    <t>90% / 3 ans</t>
  </si>
  <si>
    <t>90% illimité</t>
  </si>
  <si>
    <t>0.-- par gen., farm., med. Tel.</t>
  </si>
  <si>
    <t>60% illimité</t>
  </si>
  <si>
    <t>CHF 200.-- / 3 ans</t>
  </si>
  <si>
    <t>100% CH + MONDE</t>
  </si>
  <si>
    <t>TRADUÇÃO DAS SIGLAS PARA ANÁLISE</t>
  </si>
  <si>
    <t>Suíço sem visto de residência</t>
  </si>
  <si>
    <t>Dependente</t>
  </si>
  <si>
    <t>Independente</t>
  </si>
  <si>
    <t>Desemprego</t>
  </si>
  <si>
    <t>Renda / Pensão</t>
  </si>
  <si>
    <t>Nenhuma renda</t>
  </si>
  <si>
    <t>Fumante</t>
  </si>
  <si>
    <t>Não fumante</t>
  </si>
  <si>
    <t>10 - Prioridade máxima</t>
  </si>
  <si>
    <t>9 - Muito importante</t>
  </si>
  <si>
    <t>8 - Importante</t>
  </si>
  <si>
    <t>7 - Seria bom</t>
  </si>
  <si>
    <t>6 - Não me importaria</t>
  </si>
  <si>
    <t>5 - Por que não</t>
  </si>
  <si>
    <t>4 - Como última opção</t>
  </si>
  <si>
    <t>3 - Indiferente</t>
  </si>
  <si>
    <t>2 - Não importante</t>
  </si>
  <si>
    <t>1 - Não interessa</t>
  </si>
  <si>
    <t>0 - Não tratar</t>
  </si>
  <si>
    <t>Imposto na fonte</t>
  </si>
  <si>
    <t>Tributação ordinária</t>
  </si>
  <si>
    <t>Imposto na fonte com tributação ordinária voluntária</t>
  </si>
  <si>
    <t>Imposto na fonte com tributação ordinária obrigatória</t>
  </si>
  <si>
    <t>SIM</t>
  </si>
  <si>
    <t>NÃO</t>
  </si>
  <si>
    <t>Nenhum</t>
  </si>
  <si>
    <t>Escola profissional</t>
  </si>
  <si>
    <t>Escola profissional superior</t>
  </si>
  <si>
    <t>Universidade</t>
  </si>
  <si>
    <t>Cantão de residência</t>
  </si>
  <si>
    <t>Fora do cantão</t>
  </si>
  <si>
    <t>50% max 30 g./ano</t>
  </si>
  <si>
    <t>90% / 3 anos</t>
  </si>
  <si>
    <t>90% ilimitado</t>
  </si>
  <si>
    <t>0.-- por gen., farm., med. Tel.</t>
  </si>
  <si>
    <t>60% ilimitado</t>
  </si>
  <si>
    <t>CHF 200.-- / 3 anos</t>
  </si>
  <si>
    <t>100% CH + MUNDO</t>
  </si>
  <si>
    <t>ПЕРЕВОД СИГНАЛОВ ДЛЯ АНАЛИЗА</t>
  </si>
  <si>
    <t>Швейцарец без разрешения на пребывание</t>
  </si>
  <si>
    <t>Наемный работник</t>
  </si>
  <si>
    <t>Независимый</t>
  </si>
  <si>
    <t>Безработный</t>
  </si>
  <si>
    <t>Пенсия / Пособие</t>
  </si>
  <si>
    <t>Нет дохода</t>
  </si>
  <si>
    <t>Курильщик</t>
  </si>
  <si>
    <t>Некурящий</t>
  </si>
  <si>
    <t>10 - Высший приоритет</t>
  </si>
  <si>
    <t>9 - Очень важно</t>
  </si>
  <si>
    <t>8 - Важно</t>
  </si>
  <si>
    <t>7 - Это было бы хорошо</t>
  </si>
  <si>
    <t>6 - Мне бы это понравилось</t>
  </si>
  <si>
    <t>5 - Почему нет</t>
  </si>
  <si>
    <t>4 - В качестве последнего варианта</t>
  </si>
  <si>
    <t>3 - Безразлично</t>
  </si>
  <si>
    <t>2 - Не важно</t>
  </si>
  <si>
    <t>1 - Не интересует</t>
  </si>
  <si>
    <t>0 - Не рассматривать</t>
  </si>
  <si>
    <t>Налог на источники</t>
  </si>
  <si>
    <t>Обычное налогообложение</t>
  </si>
  <si>
    <t>Налог на источники с добровольным обычным налогообложением</t>
  </si>
  <si>
    <t>Налог на источники с обязательным обычным налогообложением</t>
  </si>
  <si>
    <t>ДА</t>
  </si>
  <si>
    <t>НЕТ</t>
  </si>
  <si>
    <t>Никто</t>
  </si>
  <si>
    <t>Профессиональная школа</t>
  </si>
  <si>
    <t>Высшая профессиональная школа</t>
  </si>
  <si>
    <t>Университет</t>
  </si>
  <si>
    <t>Canton проживания</t>
  </si>
  <si>
    <t>За пределами кантона</t>
  </si>
  <si>
    <t>50% max 30 г./год</t>
  </si>
  <si>
    <t>90% / 3 года</t>
  </si>
  <si>
    <t>90% без ограничений</t>
  </si>
  <si>
    <t>0.-- за gen., farm., med. Tel.</t>
  </si>
  <si>
    <t>60% без ограничений</t>
  </si>
  <si>
    <t>CHF 200.-- / 3 года</t>
  </si>
  <si>
    <t>100% CH + МИР</t>
  </si>
  <si>
    <t>TRANSLATION OF ABBREVIATIONS FOR ANALYSIS</t>
  </si>
  <si>
    <t>Swiss without residence permit</t>
  </si>
  <si>
    <t>Employee</t>
  </si>
  <si>
    <t>Independent</t>
  </si>
  <si>
    <t>Unemployment</t>
  </si>
  <si>
    <t>Income / Pension</t>
  </si>
  <si>
    <t>No income</t>
  </si>
  <si>
    <t>Smoker</t>
  </si>
  <si>
    <t>Non-smoker</t>
  </si>
  <si>
    <t>10 - Highest priority</t>
  </si>
  <si>
    <t>9 - Very important</t>
  </si>
  <si>
    <t>7 - Would be nice</t>
  </si>
  <si>
    <t>6 - Wouldn't mind</t>
  </si>
  <si>
    <t>5 - Why not</t>
  </si>
  <si>
    <t>4 - As a last resort</t>
  </si>
  <si>
    <t>3 - Indifferent</t>
  </si>
  <si>
    <t>2 - Not important</t>
  </si>
  <si>
    <t>1 - Not interested</t>
  </si>
  <si>
    <t>0 - Do not treat</t>
  </si>
  <si>
    <t>Withholding tax</t>
  </si>
  <si>
    <t>Ordinary taxation</t>
  </si>
  <si>
    <t>Withholding tax with voluntary ordinary taxation</t>
  </si>
  <si>
    <t>Withholding tax with mandatory ordinary taxation</t>
  </si>
  <si>
    <t>YES</t>
  </si>
  <si>
    <t>None</t>
  </si>
  <si>
    <t>Vocational school</t>
  </si>
  <si>
    <t>Higher vocational school</t>
  </si>
  <si>
    <t>University</t>
  </si>
  <si>
    <t>Canton of residence</t>
  </si>
  <si>
    <t>Outside canton</t>
  </si>
  <si>
    <t>50% max 30 g./year</t>
  </si>
  <si>
    <t>90% / 3 years</t>
  </si>
  <si>
    <t>90% unlimited</t>
  </si>
  <si>
    <t>0.-- for gen., farm., med. Tel.</t>
  </si>
  <si>
    <t>60% unlimited</t>
  </si>
  <si>
    <t>CHF 200.-- / a.-Y.</t>
  </si>
  <si>
    <t>CHF 200.-- / 3 years</t>
  </si>
  <si>
    <t>100% CH + WORLD</t>
  </si>
  <si>
    <t>Godere della libertà finanziaria in età avanzata</t>
  </si>
  <si>
    <t>Grafico Cassa malati</t>
  </si>
  <si>
    <t xml:space="preserve">COPERTURE ATTUALI </t>
  </si>
  <si>
    <t>Differenza / Anno</t>
  </si>
  <si>
    <t xml:space="preserve">annuo </t>
  </si>
  <si>
    <t>Franchigia LAMAL - KVG</t>
  </si>
  <si>
    <t>AKTUELLE DECKUNGEN</t>
  </si>
  <si>
    <t>Differenz / Jahr</t>
  </si>
  <si>
    <t>jährlicher</t>
  </si>
  <si>
    <t>Franchise LAMAL - KVG</t>
  </si>
  <si>
    <t>COUVERTURES ACTUELLES</t>
  </si>
  <si>
    <t>Différence / Année</t>
  </si>
  <si>
    <t>annuel</t>
  </si>
  <si>
    <t>COBERTURAS ATUAIS</t>
  </si>
  <si>
    <t>Diferença / Ano</t>
  </si>
  <si>
    <t>anual</t>
  </si>
  <si>
    <t>Franquia LAMAL - KVG</t>
  </si>
  <si>
    <t>ТЕКУЩИЕ ПОКРЫТИЯ</t>
  </si>
  <si>
    <t>Разница / Год</t>
  </si>
  <si>
    <t>ежегодный</t>
  </si>
  <si>
    <t>Франшиза LAMAL - KVG</t>
  </si>
  <si>
    <t>CURRENT COVERAGES</t>
  </si>
  <si>
    <t>Difference / Year</t>
  </si>
  <si>
    <t>annual</t>
  </si>
  <si>
    <t>Deductible LAMAL - KVG</t>
  </si>
  <si>
    <t>Abdeckung</t>
  </si>
  <si>
    <t>Risiko Kosten</t>
  </si>
  <si>
    <t>Couverture</t>
  </si>
  <si>
    <t>Risque de dépenses</t>
  </si>
  <si>
    <t>Cobertura</t>
  </si>
  <si>
    <t>Risco de Despesas</t>
  </si>
  <si>
    <t>Покрытие</t>
  </si>
  <si>
    <t>Риск расходов</t>
  </si>
  <si>
    <t>Coverage</t>
  </si>
  <si>
    <t>Expense Risk</t>
  </si>
  <si>
    <t>Grafico Figli</t>
  </si>
  <si>
    <t>Anni da ora alla fine degli studi</t>
  </si>
  <si>
    <t>GARANTIEREN SIE DEN KINDERN DIE FINANZIERUNG DES STUDIUMS</t>
  </si>
  <si>
    <t>Garantieren Sie die Studien für:</t>
  </si>
  <si>
    <t>Jahre bis zum Ende des Studiums</t>
  </si>
  <si>
    <t>Gewünschte Art des Studiums für das Kind:</t>
  </si>
  <si>
    <t>Voraussichtliche Studienkosten:</t>
  </si>
  <si>
    <t>Mit vorgeschlagenem monatlichem Sparbetrag</t>
  </si>
  <si>
    <t>Voraussichtlicher Zinssatz:</t>
  </si>
  <si>
    <t>Zu beschaffendes Kapital:</t>
  </si>
  <si>
    <t>Um die Zukunft der Kinder zu sichern, benötigen Sie insgesamt:</t>
  </si>
  <si>
    <t>Gesamtbetrag notwendig:</t>
  </si>
  <si>
    <t>Durchschnittliche Kosten pro Kind für das Studium in der Schweiz</t>
  </si>
  <si>
    <t>Schulart</t>
  </si>
  <si>
    <t>Jährliche Schulkosten (CHF)</t>
  </si>
  <si>
    <t>Zusätzliche jährliche Kosten (CHF)</t>
  </si>
  <si>
    <t>Jährliche Unterkunftskosten (CHF)</t>
  </si>
  <si>
    <t>Sekundarschule II</t>
  </si>
  <si>
    <t>Höhere Berufsfachschulen</t>
  </si>
  <si>
    <t>Öffentlich</t>
  </si>
  <si>
    <t>Privat</t>
  </si>
  <si>
    <t>Öffentlich/anerkannt</t>
  </si>
  <si>
    <t>GARANTIR AUX ENFANTS LE FINANCEMENT DES ÉTUDES</t>
  </si>
  <si>
    <t>Garantir les études pour :</t>
  </si>
  <si>
    <t>Âge</t>
  </si>
  <si>
    <t>Années jusqu'à la fin des études</t>
  </si>
  <si>
    <t>Type d'études souhaité pour l'enfant :</t>
  </si>
  <si>
    <t>Lieu où ils pourraient étudier :</t>
  </si>
  <si>
    <t>Durée possible des études</t>
  </si>
  <si>
    <t>Coût estimé des études :</t>
  </si>
  <si>
    <t>Avec l'épargne mensuelle proposée</t>
  </si>
  <si>
    <t>Taux d'intérêt moyen prévu :</t>
  </si>
  <si>
    <t>Capital à obtenir :</t>
  </si>
  <si>
    <t>Pour garantir l'avenir des enfants, vous avez besoin au total de :</t>
  </si>
  <si>
    <t>Total nécessaire :</t>
  </si>
  <si>
    <t>Coûts moyens par enfant pour les études en Suisse</t>
  </si>
  <si>
    <t>Type d'école</t>
  </si>
  <si>
    <t>Frais de scolarité annuels (CHF)</t>
  </si>
  <si>
    <t>Coûts supplémentaires annuels (CHF)</t>
  </si>
  <si>
    <t>Coûts de logement annuels (CHF)</t>
  </si>
  <si>
    <t>École secondaire II</t>
  </si>
  <si>
    <t>Écoles professionnelles supérieures</t>
  </si>
  <si>
    <t>Publique</t>
  </si>
  <si>
    <t>Privée</t>
  </si>
  <si>
    <t>Publique/Reconnu</t>
  </si>
  <si>
    <t>GARANTIR AOS FILHOS O FINANCIAMENTO DOS ESTUDOS</t>
  </si>
  <si>
    <t>Garantir os estudos para:</t>
  </si>
  <si>
    <t>Idade</t>
  </si>
  <si>
    <t>Anos até o fim dos estudos</t>
  </si>
  <si>
    <t>Tipo de estudo desejado para o filho:</t>
  </si>
  <si>
    <t>Local onde poderiam estudar:</t>
  </si>
  <si>
    <t>Duração possível dos estudos</t>
  </si>
  <si>
    <t>Custo estimado dos estudos:</t>
  </si>
  <si>
    <t>Com a poupança mensal proposta</t>
  </si>
  <si>
    <t>Taxa de juro média prevista:</t>
  </si>
  <si>
    <t>Capital a ser levantado:</t>
  </si>
  <si>
    <t>Para garantir o futuro dos filhos, você necessita no total de:</t>
  </si>
  <si>
    <t>Total necessário:</t>
  </si>
  <si>
    <t>Custos médios por filho para os estudos na Suíça</t>
  </si>
  <si>
    <t>Tipo de escola</t>
  </si>
  <si>
    <t>Taxas anuais de matrícula (CHF)</t>
  </si>
  <si>
    <t>Custos adicionais anuais (CHF)</t>
  </si>
  <si>
    <t>Custos anuais de alojamento (CHF)</t>
  </si>
  <si>
    <t>Escola secundária II</t>
  </si>
  <si>
    <t>Escolas profissionais superiores</t>
  </si>
  <si>
    <t>Pública</t>
  </si>
  <si>
    <t>Privada</t>
  </si>
  <si>
    <t>Pública/reconhecida</t>
  </si>
  <si>
    <t>ГАРАНТИРОВАТЬ ДЕТЯМ ФИНАНСИРОВАНИЕ ОБУЧЕНИЯ</t>
  </si>
  <si>
    <t>Обеспечить учебу для:</t>
  </si>
  <si>
    <t>Возраст</t>
  </si>
  <si>
    <t>Годы до конца учёбы</t>
  </si>
  <si>
    <t>Желаемый тип обучения для ребенка:</t>
  </si>
  <si>
    <t>Место, где они могут учиться:</t>
  </si>
  <si>
    <t>Возможная продолжительность учёбы</t>
  </si>
  <si>
    <t>Ожидаемая стоимость учёбы:</t>
  </si>
  <si>
    <t>С предложенной ежемесячной экономией</t>
  </si>
  <si>
    <t>Ожидаемый средний процент</t>
  </si>
  <si>
    <t>Необходимый капитал</t>
  </si>
  <si>
    <t>Чтобы обеспечить будущее детей, вам необходимо в общей сложности:</t>
  </si>
  <si>
    <t>Общая необходимая сумма:</t>
  </si>
  <si>
    <t>Средние расходы на обучение для ребенка в Швейцарии</t>
  </si>
  <si>
    <t>Тип школы</t>
  </si>
  <si>
    <t>Ежегодные школьные сборы (CHF)</t>
  </si>
  <si>
    <t>Дополнительные ежегодные расходы (CHF)</t>
  </si>
  <si>
    <t>Ежегодные расходы на жильё (CHF)</t>
  </si>
  <si>
    <t>Среднее образование II</t>
  </si>
  <si>
    <t>Высшие профессиональные школы</t>
  </si>
  <si>
    <t>Государственная</t>
  </si>
  <si>
    <t>Частная</t>
  </si>
  <si>
    <t>Государственная/признанная</t>
  </si>
  <si>
    <t>GUARANTEE THE CHILDREN'S FINANCING FOR STUDIES</t>
  </si>
  <si>
    <t>Guarantee studies for:</t>
  </si>
  <si>
    <t>Age</t>
  </si>
  <si>
    <t>Years until the end of studies</t>
  </si>
  <si>
    <t>Desired type of studies for the child:</t>
  </si>
  <si>
    <t>Place where they could study:</t>
  </si>
  <si>
    <t>Possible duration of studies</t>
  </si>
  <si>
    <t>Estimated cost of studies:</t>
  </si>
  <si>
    <t>With proposed monthly savings</t>
  </si>
  <si>
    <t>Expected average interest rate:</t>
  </si>
  <si>
    <t>Capital to be raised:</t>
  </si>
  <si>
    <t>To guarantee the future of the children, you need a total of:</t>
  </si>
  <si>
    <t>Total required:</t>
  </si>
  <si>
    <t>Average costs per child for studies in Switzerland</t>
  </si>
  <si>
    <t>Type of school</t>
  </si>
  <si>
    <t>Annual tuition fees (CHF)</t>
  </si>
  <si>
    <t>Additional annual costs (CHF)</t>
  </si>
  <si>
    <t>Annual housing costs (CHF)</t>
  </si>
  <si>
    <t>Secondary school II</t>
  </si>
  <si>
    <t>Higher vocational schools</t>
  </si>
  <si>
    <t>Public</t>
  </si>
  <si>
    <t>Private</t>
  </si>
  <si>
    <t>Public/recognized</t>
  </si>
  <si>
    <t>Previdenza per la Vecchiaia</t>
  </si>
  <si>
    <t>Quanto dovreste risparmiare mensilmente per raggiungere entro il pensionamento il capitale di:</t>
  </si>
  <si>
    <t>Pensionsberechnung für:</t>
  </si>
  <si>
    <t>Jahre bis zur Rente</t>
  </si>
  <si>
    <t>Gewünschtes jährliches Einkommen (Bedarf)</t>
  </si>
  <si>
    <t>Gesamte erwartete Rentenleistung</t>
  </si>
  <si>
    <t>Fehlendes jährliches Einkommen</t>
  </si>
  <si>
    <t>Dies ist genau das, was passieren wird, wenn Sie nichts unternehmen, um Ihre Rentenansprüche zu verbessern!</t>
  </si>
  <si>
    <t>pro Monat?</t>
  </si>
  <si>
    <t>Um den aktuellen Lebensstandard bis zur Pensionierung zu halten, benötigen Sie bis zur Pensionierung:</t>
  </si>
  <si>
    <t>Fehlendes jährliches Einkommen:</t>
  </si>
  <si>
    <t>Verpflichtungen, die bis zur Pensionierung zu begleichen sind:</t>
  </si>
  <si>
    <t>Wie viel müssten Sie monatlich sparen, um bis zur Pensionierung das Kapital von: zu erreichen</t>
  </si>
  <si>
    <t>Wenn man mit 25 Jahren beginnt</t>
  </si>
  <si>
    <t>Wenn man mit 35 Jahren beginnt</t>
  </si>
  <si>
    <t>Wenn man mit 45 Jahren beginnt</t>
  </si>
  <si>
    <t>Wenn man mit 55 Jahren beginnt</t>
  </si>
  <si>
    <t>Bei 6% Zinsen</t>
  </si>
  <si>
    <t>Es ist daher wichtiger denn je, rechtzeitig zu überlegen, wie man sich privat ein Kapital aufbauen kann, um die dritte Lebensphase finanziell abzusichern!</t>
  </si>
  <si>
    <t>Prévoyance pour la Retraite</t>
  </si>
  <si>
    <t>Calcul de la prévoyance pour :</t>
  </si>
  <si>
    <t>Années de cotisation</t>
  </si>
  <si>
    <t>Années avant la retraite</t>
  </si>
  <si>
    <t>Revenu annuel souhaité (besoin)</t>
  </si>
  <si>
    <t>Rente annuelle AVS attendue</t>
  </si>
  <si>
    <t>Rente annuelle LPP attendue</t>
  </si>
  <si>
    <t>Total de la rente de retraite attendue</t>
  </si>
  <si>
    <t>Revenu annuel manquant</t>
  </si>
  <si>
    <t>Que feriez-vous si demain vous veniez à manquer</t>
  </si>
  <si>
    <t>C'est exactement ce qui se passera si vous ne faites rien pour améliorer vos droits à la prévoyance !</t>
  </si>
  <si>
    <t>par mois ?</t>
  </si>
  <si>
    <t>Pour maintenir votre qualité de vie actuelle, vous aurez besoin avant la retraite de :</t>
  </si>
  <si>
    <t>Revenu annuel manquant :</t>
  </si>
  <si>
    <t>Engagements à liquider avant la retraite :</t>
  </si>
  <si>
    <t>Combien devriez-vous économiser mensuellement pour atteindre le capital de : avant la retraite</t>
  </si>
  <si>
    <t>Si vous commencez à 25 ans</t>
  </si>
  <si>
    <t>Si vous commencez à 35 ans</t>
  </si>
  <si>
    <t>Si vous commencez à 45 ans</t>
  </si>
  <si>
    <t>Si vous commencez à 55 ans</t>
  </si>
  <si>
    <t>À 6 % d'intérêt</t>
  </si>
  <si>
    <t>Il est donc plus important que jamais de penser à temps à se constituer un capital privé afin de pouvoir faire face au troisième tiers de notre vie !</t>
  </si>
  <si>
    <t>Пенсионное обеспечение для старости</t>
  </si>
  <si>
    <t>Расчёт пенсионного обеспечения для:</t>
  </si>
  <si>
    <t>Годы взносов</t>
  </si>
  <si>
    <t>Годы до пенсии</t>
  </si>
  <si>
    <t>Желаемый годовой доход (необходимость)</t>
  </si>
  <si>
    <t>Ожидаемая годовая пенсия по AHV</t>
  </si>
  <si>
    <t>Ожидаемая годовая пенсия по BVG</t>
  </si>
  <si>
    <t>Общая ожидаемая пенсия</t>
  </si>
  <si>
    <t>Необходимый годовой доход</t>
  </si>
  <si>
    <t>Что бы вы делали, если бы с завтрашнего дня вам не хватало</t>
  </si>
  <si>
    <t>Это именно то, что произойдёт, если вы ничего не предпримете для улучшения своих пенсионных прав!</t>
  </si>
  <si>
    <t>в месяц?</t>
  </si>
  <si>
    <t>Для поддержания текущего уровня жизни до пенсии вам потребуется:</t>
  </si>
  <si>
    <t>Необходимый годовой доход:</t>
  </si>
  <si>
    <t>Обязательства, которые нужно погасить до пенсии:</t>
  </si>
  <si>
    <t>Сколько вам нужно откладывать ежемесячно, чтобы достичь капитала в: к моменту пенсии</t>
  </si>
  <si>
    <t>Если начать в 25 лет</t>
  </si>
  <si>
    <t>Если начать в 35 лет</t>
  </si>
  <si>
    <t>Если начать в 45 лет</t>
  </si>
  <si>
    <t>Если начать в 55 лет</t>
  </si>
  <si>
    <t>При 6% годовых</t>
  </si>
  <si>
    <t>Именно поэтому важнее всего заранее позаботиться о создании частного капитала, который позволит нам встретить третью часть нашей жизни!</t>
  </si>
  <si>
    <t>Retirement Planning</t>
  </si>
  <si>
    <t>Retirement calculation for:</t>
  </si>
  <si>
    <t>Years of contribution</t>
  </si>
  <si>
    <t>Years until retirement</t>
  </si>
  <si>
    <t>Desired annual income (need)</t>
  </si>
  <si>
    <t>Expected annual AHV pension</t>
  </si>
  <si>
    <t>Expected annual BVG pension</t>
  </si>
  <si>
    <t>Total expected pension</t>
  </si>
  <si>
    <t>Missing annual income</t>
  </si>
  <si>
    <t>What would you do if, starting tomorrow, you were to miss</t>
  </si>
  <si>
    <t>This is exactly what will happen if you don’t take action to improve your pension rights!</t>
  </si>
  <si>
    <t>per month?</t>
  </si>
  <si>
    <t>To maintain your current standard of living, you will need by retirement:</t>
  </si>
  <si>
    <t>Missing annual income:</t>
  </si>
  <si>
    <t>Obligations to settle by retirement:</t>
  </si>
  <si>
    <t>How much should you save monthly to reach the capital of: by retirement</t>
  </si>
  <si>
    <t>If you start at 25 years old</t>
  </si>
  <si>
    <t>If you start at 35 years old</t>
  </si>
  <si>
    <t>If you start at 45 years old</t>
  </si>
  <si>
    <t>If you start at 55 years old</t>
  </si>
  <si>
    <t>At 6% interest</t>
  </si>
  <si>
    <t>It is therefore more important than ever to think in advance about building private capital to cover the third part of our lives!</t>
  </si>
  <si>
    <t>Cálculo previdenciário para:</t>
  </si>
  <si>
    <t>Anos de contribuição</t>
  </si>
  <si>
    <t>Anos até a aposentadoria</t>
  </si>
  <si>
    <t>Rendimento anual desejado (necessidade)</t>
  </si>
  <si>
    <t>Rendimento anual da AVS esperado</t>
  </si>
  <si>
    <t>Rendimento anual do LPP esperado</t>
  </si>
  <si>
    <t>Total de rendimento de aposentadoria esperado</t>
  </si>
  <si>
    <t>Rendimento anual faltante</t>
  </si>
  <si>
    <t>O que você faria se, a partir de amanhã, você ficasse sem</t>
  </si>
  <si>
    <t>Este é exatamente o que acontecerá se você não fizer nada para melhorar seus direitos previdenciários!</t>
  </si>
  <si>
    <t>por mês?</t>
  </si>
  <si>
    <t>Para manter o padrão de vida atual, você precisará até a aposentadoria de:</t>
  </si>
  <si>
    <t>Rendimento anual faltante:</t>
  </si>
  <si>
    <t>Compromissos a serem quitados até a aposentadoria:</t>
  </si>
  <si>
    <t>Quanto você teria que economizar mensalmente para alcançar até a aposentadoria o capital de:</t>
  </si>
  <si>
    <t>Se começar aos 25 anos</t>
  </si>
  <si>
    <t>Se começar aos 35 anos</t>
  </si>
  <si>
    <t>Se começar aos 45 anos</t>
  </si>
  <si>
    <t>Se começar aos 55 anos</t>
  </si>
  <si>
    <t>A 6% de juros</t>
  </si>
  <si>
    <t>Portanto, é mais importante do que nunca pensar com antecedência em garantir um capital privado que nos permita enfrentar a terceira parte da nossa vida!</t>
  </si>
  <si>
    <t>Situation de la prévoyance pour :</t>
  </si>
  <si>
    <t>Calcul effectué par :</t>
  </si>
  <si>
    <t>Paramètres de calcul :</t>
  </si>
  <si>
    <t>Calcul du :</t>
  </si>
  <si>
    <t>Situação previdenciária para:</t>
  </si>
  <si>
    <t>Cálculo efetuado por:</t>
  </si>
  <si>
    <t>Parâmetros de cálculo:</t>
  </si>
  <si>
    <t>Cálculo do:</t>
  </si>
  <si>
    <t>Пенсионная ситуация для:</t>
  </si>
  <si>
    <t>Расчёт произведён:</t>
  </si>
  <si>
    <t>Параметры расчёта:</t>
  </si>
  <si>
    <t>Расчёт:</t>
  </si>
  <si>
    <t>Pension situation for:</t>
  </si>
  <si>
    <t>Calculation performed by:</t>
  </si>
  <si>
    <t>Calculation parameters:</t>
  </si>
  <si>
    <t>Calculation of:</t>
  </si>
  <si>
    <t>Couverture pour le conjoint en cas de décès de</t>
  </si>
  <si>
    <t>Cobertura para o cônjuge em caso de falecimento de</t>
  </si>
  <si>
    <t>Покрытие для супруга в случае смерти</t>
  </si>
  <si>
    <t>Coverage for the spouse in case of death of</t>
  </si>
  <si>
    <t>Grafici previsdenza</t>
  </si>
  <si>
    <t>Vorsorgegrafiken</t>
  </si>
  <si>
    <t>Einkommen im Falle von Krankheit</t>
  </si>
  <si>
    <t>Witwenrente im Falle von Krankheit</t>
  </si>
  <si>
    <t>Witwenrente (mit Kindern):</t>
  </si>
  <si>
    <t>Witwenrente (ohne Kinder):</t>
  </si>
  <si>
    <t>Einkommen im Falle von Unfall</t>
  </si>
  <si>
    <t>Witwenrente im Falle eines Unfalls</t>
  </si>
  <si>
    <t>Witwenrente (mit Kindern)</t>
  </si>
  <si>
    <t>Witwenrente (ohne Kinder)</t>
  </si>
  <si>
    <t>Rente (ohne Splitting:)</t>
  </si>
  <si>
    <t>Graphiques de prévoyance</t>
  </si>
  <si>
    <t>Revenu en cas de Maladie</t>
  </si>
  <si>
    <t>Besoin</t>
  </si>
  <si>
    <t>Inv. (avec enfants)</t>
  </si>
  <si>
    <t>Inv. (sans enfants)</t>
  </si>
  <si>
    <t>Rente de veuvage en cas de maladie</t>
  </si>
  <si>
    <t>Rente de veuvage (avec enfants) :</t>
  </si>
  <si>
    <t>Rente de veuvage (sans enfants) :</t>
  </si>
  <si>
    <t>Revenu en cas d'Accident</t>
  </si>
  <si>
    <t>Inv. Accident</t>
  </si>
  <si>
    <t>Rente de veuvage en cas d'Accident</t>
  </si>
  <si>
    <t>Rente de veuvage (avec enfants)</t>
  </si>
  <si>
    <t>Rente de veuvage (sans enfants)</t>
  </si>
  <si>
    <t>Pension (sans Splitting:)</t>
  </si>
  <si>
    <t>AVS + LPP :</t>
  </si>
  <si>
    <t>Avec Splitting :</t>
  </si>
  <si>
    <t>Lacunes</t>
  </si>
  <si>
    <t>Gráficos de previdência</t>
  </si>
  <si>
    <t>Rendimento em caso de Doença</t>
  </si>
  <si>
    <t>Necessidade</t>
  </si>
  <si>
    <t>Inv. (com filhos)</t>
  </si>
  <si>
    <t>Inv. (sem filhos)</t>
  </si>
  <si>
    <t>Pensão de viuvez em caso de doença</t>
  </si>
  <si>
    <t>Pensão de viuvez (com filhos):</t>
  </si>
  <si>
    <t>Pensão de viuvez (sem filhos):</t>
  </si>
  <si>
    <t>Rendimento em caso de Acidente</t>
  </si>
  <si>
    <t>Inv. Acidente</t>
  </si>
  <si>
    <t>Pensão de viuvez em caso de Acidente</t>
  </si>
  <si>
    <t>Pensão de viuvez (com filhos)</t>
  </si>
  <si>
    <t>Pensão de viuvez (sem filhos)</t>
  </si>
  <si>
    <t>Aposentadoria (sem Splitting:)</t>
  </si>
  <si>
    <t>Com Splitting:</t>
  </si>
  <si>
    <t>Lacunas</t>
  </si>
  <si>
    <t>Графики пенсионного обеспечения</t>
  </si>
  <si>
    <t>Доход в случае болезни</t>
  </si>
  <si>
    <t>Необходимость</t>
  </si>
  <si>
    <t>Inv. (с детьми)</t>
  </si>
  <si>
    <t>Inv. (без детей)</t>
  </si>
  <si>
    <t>Пенсия вдовы в случае болезни</t>
  </si>
  <si>
    <t>Пенсия вдовы (с детьми):</t>
  </si>
  <si>
    <t>Пенсия вдовы (без детей):</t>
  </si>
  <si>
    <t>Доход в случае несчастного случая</t>
  </si>
  <si>
    <t>Inv. Несчастный случай</t>
  </si>
  <si>
    <t>Пенсия вдовы в случае несчастного случая</t>
  </si>
  <si>
    <t>Пенсия вдовы (с детьми)</t>
  </si>
  <si>
    <t>Пенсия вдовы (без детей)</t>
  </si>
  <si>
    <t>Пенсия (без раздела:)</t>
  </si>
  <si>
    <t>С разделом:</t>
  </si>
  <si>
    <t>Пробелы</t>
  </si>
  <si>
    <t>Pension graphics</t>
  </si>
  <si>
    <t>Income in case of Illness</t>
  </si>
  <si>
    <t>Need</t>
  </si>
  <si>
    <t>Inv. (with children)</t>
  </si>
  <si>
    <t>Inv. (without children)</t>
  </si>
  <si>
    <t>Widow’s pension in case of illness</t>
  </si>
  <si>
    <t>Widow’s pension (with children):</t>
  </si>
  <si>
    <t>Widow’s pension (without children):</t>
  </si>
  <si>
    <t>Income in case of Accident</t>
  </si>
  <si>
    <t>Widow’s pension in case of Accident</t>
  </si>
  <si>
    <t>Widow’s pension (with children)</t>
  </si>
  <si>
    <t>Widow’s pension (without children)</t>
  </si>
  <si>
    <t>Pension (without Splitting:)</t>
  </si>
  <si>
    <t>AVS + BVG:</t>
  </si>
  <si>
    <t>With splitting:</t>
  </si>
  <si>
    <t>Gaps</t>
  </si>
  <si>
    <t>Rente 3. Säule</t>
  </si>
  <si>
    <t>Einkommen / Renten 1. und 2. Säule</t>
  </si>
  <si>
    <t>Redditi / Rendite 1. e 2. pilastro</t>
  </si>
  <si>
    <t>Revenus / Rentes 1er et 2e pilier</t>
  </si>
  <si>
    <t>Rente 3e pilier</t>
  </si>
  <si>
    <t>Rendimentos / Pensões 1º e 2º Pilastro</t>
  </si>
  <si>
    <t>Rendita 3° Pilastro</t>
  </si>
  <si>
    <t>Доходы / Пенсии 1-го и 2-го столбца</t>
  </si>
  <si>
    <t>Пенсия 3-й столбец</t>
  </si>
  <si>
    <t>Income / Pensions 1st and 2nd pillar</t>
  </si>
  <si>
    <t>3rd Pillar Pension</t>
  </si>
  <si>
    <t>3. pilastro</t>
  </si>
  <si>
    <t xml:space="preserve">Fabbisogno minimo: </t>
  </si>
  <si>
    <t>Da inserire in polizza</t>
  </si>
  <si>
    <t>Diritto LPP</t>
  </si>
  <si>
    <t>Diritto per Lainf</t>
  </si>
  <si>
    <t>Convivenza da almeno 5 anni?</t>
  </si>
  <si>
    <t>Diritto del cliente in caso di vedovanza se partner muore</t>
  </si>
  <si>
    <t>Diritto per LPP</t>
  </si>
  <si>
    <t>convivente da almeno 5 anni?</t>
  </si>
  <si>
    <t>Garanzia del pagamento dei premi in caso di incapacità lavorativa:</t>
  </si>
  <si>
    <t>Capitale assicurato in caso di incapacità lavorativa:</t>
  </si>
  <si>
    <t>Imposte annue senza deduzione 3. pilastro</t>
  </si>
  <si>
    <t>Imposte annue con deduzione 3. pilastro</t>
  </si>
  <si>
    <t>VORSCHLAG FÜR DIE VORSORGE FÜR:</t>
  </si>
  <si>
    <t>Kapital bei der Pensionierung:</t>
  </si>
  <si>
    <t>Versichertes Kapital im Todesfall:</t>
  </si>
  <si>
    <t>Garantie der Prämienzahlung bei Arbeitsunfähigkeit:</t>
  </si>
  <si>
    <t>Versichertes Kapital bei Arbeitsunfähigkeit:</t>
  </si>
  <si>
    <t>Jährliche Steuerbeteiligung (Abzug)</t>
  </si>
  <si>
    <t>Jährliche Prämie</t>
  </si>
  <si>
    <t>Dauer des Vorsorgeplans</t>
  </si>
  <si>
    <t>Selbstfinanzierung im Falle von Arbeitsunfähigkeit</t>
  </si>
  <si>
    <t>Jährliche Rente bei Arbeitsunfähigkeit:</t>
  </si>
  <si>
    <t>3a Kapital bei der Pensionierung:</t>
  </si>
  <si>
    <t>Jährliche Steuern ohne Abzug 3. Säule</t>
  </si>
  <si>
    <t>Jährliche Steuern mit Abzug 3. Säule</t>
  </si>
  <si>
    <t>PROPOSITION DE PRÉVOYANCE POUR :</t>
  </si>
  <si>
    <t>Composition d'un plan de prévoyance idéal selon l'ordonnance fédérale OPP3 (troisième pilier) :</t>
  </si>
  <si>
    <t>CAPITAUX ASSURÉS</t>
  </si>
  <si>
    <t>CAPITAUX INVESTIS</t>
  </si>
  <si>
    <t>Capital à la retraite :</t>
  </si>
  <si>
    <t>Capital assuré en cas de décès :</t>
  </si>
  <si>
    <t>Garantie du paiement des primes en cas d'incapacité de travail :</t>
  </si>
  <si>
    <t>Capital assuré en cas d'incapacité de travail :</t>
  </si>
  <si>
    <t>Total des couvertures et des capitaux pour le client :</t>
  </si>
  <si>
    <t>Participation fiscale annuelle (déduction)</t>
  </si>
  <si>
    <t>Total des capitaux investis</t>
  </si>
  <si>
    <t>Prime annuelle</t>
  </si>
  <si>
    <t>Durée du plan de prévoyance</t>
  </si>
  <si>
    <t>Autofinancement en cas d'incapacité de travail</t>
  </si>
  <si>
    <t>Rente annuelle en cas d'incapacité de travail :</t>
  </si>
  <si>
    <t>Capital 3a à la retraite :</t>
  </si>
  <si>
    <t>Impôts annuels sans déduction 3. pilier</t>
  </si>
  <si>
    <t>Impôts annuels avec déduction 3. pilier</t>
  </si>
  <si>
    <t>PROPOSTA DE PREVIDÊNCIA PARA:</t>
  </si>
  <si>
    <t>Composição de um plano de previdência ideal, segundo a ordem federal OPP3 (terceiro pilar):</t>
  </si>
  <si>
    <t>CAPITAIS SEGURADOS</t>
  </si>
  <si>
    <t>CAPITAIS INVESTIDOS</t>
  </si>
  <si>
    <t>Capital na aposentadoria:</t>
  </si>
  <si>
    <t>Capital segurado em caso de falecimento:</t>
  </si>
  <si>
    <t>Garantia do pagamento dos prêmios em caso de incapacidade de trabalho:</t>
  </si>
  <si>
    <t>Capital segurado em caso de incapacidade de trabalho:</t>
  </si>
  <si>
    <t>Total de coberturas e capitais para o cliente:</t>
  </si>
  <si>
    <t>Participação fiscal anual (dedução)</t>
  </si>
  <si>
    <t>Total de capitais investidos</t>
  </si>
  <si>
    <t>Prêmio anual</t>
  </si>
  <si>
    <t>Duração do plano de previdência</t>
  </si>
  <si>
    <t>Autofinanciamento em caso de incapacidade de trabalho</t>
  </si>
  <si>
    <t>Renda anual em caso de incapacidade de trabalho:</t>
  </si>
  <si>
    <t>Capital 3a na aposentadoria:</t>
  </si>
  <si>
    <t>Impostos anuais sem dedução 3. pilar</t>
  </si>
  <si>
    <t>Impostos anuais com dedução 3. pilar</t>
  </si>
  <si>
    <t>ПРЕДЛОЖЕНИЕ ПО ПЕНСИОННОМУ ОБЕСПЕЧЕНИЮ ДЛЯ:</t>
  </si>
  <si>
    <t>Составление идеального пенсионного плана согласно федеральному указу OPP3 (третий столбец):</t>
  </si>
  <si>
    <t>ЗАСТРАХОВАННЫЕ КАПИТАЛЫ</t>
  </si>
  <si>
    <t>ИНВЕСТИРОВАННЫЕ КАПИТАЛЫ</t>
  </si>
  <si>
    <t>Капитал на пенсии:</t>
  </si>
  <si>
    <t>Застрахованный капитал в случае смерти:</t>
  </si>
  <si>
    <t>Гарантия оплаты взносов в случае утраты трудоспособности:</t>
  </si>
  <si>
    <t>Застрахованный капитал в случае утраты трудоспособности:</t>
  </si>
  <si>
    <t>Общее покрытие и капитал для клиента:</t>
  </si>
  <si>
    <t>Ежегодное налоговое участие (вычет)</t>
  </si>
  <si>
    <t>Общий объем инвестированных капиталов</t>
  </si>
  <si>
    <t>Ежегодный взнос</t>
  </si>
  <si>
    <t>Срок пенсионного плана</t>
  </si>
  <si>
    <t>Автономное финансирование в случае утраты трудоспособности</t>
  </si>
  <si>
    <t>Ежегодная пенсия в случае утраты трудоспособности:</t>
  </si>
  <si>
    <t>Капитал 3a на пенсии:</t>
  </si>
  <si>
    <t>Ежегодные налоги без вычета 3-го столбца</t>
  </si>
  <si>
    <t>Ежегодные налоги с вычетом 3-го столбца</t>
  </si>
  <si>
    <t>PENSION PROPOSAL FOR:</t>
  </si>
  <si>
    <t>Composition of an ideal pension plan according to the federal ordinance OPP3 (third pillar):</t>
  </si>
  <si>
    <t>INSURED CAPITALS</t>
  </si>
  <si>
    <t>INVESTED CAPITALS</t>
  </si>
  <si>
    <t>Capital at retirement:</t>
  </si>
  <si>
    <t>Insured capital in case of death:</t>
  </si>
  <si>
    <t>Guarantee of premium payment in case of incapacity to work:</t>
  </si>
  <si>
    <t>Insured capital in case of incapacity to work:</t>
  </si>
  <si>
    <t>Total coverage and capital for the client:</t>
  </si>
  <si>
    <t>Annual tax participation (deduction)</t>
  </si>
  <si>
    <t>Total invested capitals</t>
  </si>
  <si>
    <t>Annual premium</t>
  </si>
  <si>
    <t>Duration of pension plan</t>
  </si>
  <si>
    <t>Self-financing in case of incapacity to work</t>
  </si>
  <si>
    <t>Annual pension in case of incapacity to work:</t>
  </si>
  <si>
    <t>3a capital at retirement:</t>
  </si>
  <si>
    <t>Annual taxes without 3rd pillar deduction</t>
  </si>
  <si>
    <t>Annual taxes with 3rd pillar deduction</t>
  </si>
  <si>
    <t>Investiertes Kapital mit steuerlichen Abzügen</t>
  </si>
  <si>
    <t>Capitaux investis avec déductions fiscales</t>
  </si>
  <si>
    <t>Capitais investidos com deduções fiscais</t>
  </si>
  <si>
    <t>Инвестированные капиталы с налоговыми вычетами</t>
  </si>
  <si>
    <t>Invested capital with tax deductions</t>
  </si>
  <si>
    <t>Finanziamento e finanziabilità</t>
  </si>
  <si>
    <t>Bruttojahreseinkommen gesamt:</t>
  </si>
  <si>
    <t>Gesamtkosten pro Jahr für Leasing und Kredite</t>
  </si>
  <si>
    <t>Gesamte jährliche Mieteinnahmen (für Mehrfamilienhäuser)</t>
  </si>
  <si>
    <t>Derzeit verfügbares Kapital auf der BVG:</t>
  </si>
  <si>
    <t>Gesamte jährliche Beiträge zur BVG:</t>
  </si>
  <si>
    <t>AKTUELLE SITUATION FÜR DIE FINANZIERUNG:</t>
  </si>
  <si>
    <t>Maximale Finanzierung, gegeben das Eigenkapital in bar + 3. Säule.</t>
  </si>
  <si>
    <t>Maximale Finanzierung, gegeben das gesamte Eigenkapital:</t>
  </si>
  <si>
    <t>Maximale Finanzierung, basierend auf der Einkommensnachhaltigkeit:</t>
  </si>
  <si>
    <t>BVG</t>
  </si>
  <si>
    <t>Finanzierung</t>
  </si>
  <si>
    <t>Verfügbares Kapital für den Kauf</t>
  </si>
  <si>
    <t>Andere Kapitalformen (Mietkauf, Bürgschaften, etc.)</t>
  </si>
  <si>
    <t>Kredit für Finanzierung über 80%</t>
  </si>
  <si>
    <t>Aktuelle jährliche Ersparnis:</t>
  </si>
  <si>
    <t>Vorgeschlagene jährliche Ersparnis:</t>
  </si>
  <si>
    <t>Financabilité de propriété immobilière POUR :</t>
  </si>
  <si>
    <t>Revenu brut annuel total :</t>
  </si>
  <si>
    <t>Coûts annuels totaux pour les leasings et crédits</t>
  </si>
  <si>
    <t>Recettes annuelles totales des loyers (pour immeubles à appartements multiples)</t>
  </si>
  <si>
    <t>Capital disponible actuellement sur la LPP :</t>
  </si>
  <si>
    <t>Contributions annuelles totales à la LPP :</t>
  </si>
  <si>
    <t>SITUATION ACTUELLE POUR LE FINANCEMENT :</t>
  </si>
  <si>
    <t>Financement maximal, donné le capital propre liquide + 3e pilier.</t>
  </si>
  <si>
    <t>Financement maximal donné le capital propre total :</t>
  </si>
  <si>
    <t>Financement maximal donné la durabilité des revenus :</t>
  </si>
  <si>
    <t>FINANCABILITÉ DANS LE TEMPS AVEC ÉPARGNE MENSUELLE :</t>
  </si>
  <si>
    <t>Financement</t>
  </si>
  <si>
    <t>LIMITE D'ACHAT</t>
  </si>
  <si>
    <t>Capital disponible pour l'achat</t>
  </si>
  <si>
    <t>Autres formes de capital (location-vente, garanties, etc.)</t>
  </si>
  <si>
    <t>Crédit pour financement au-delà de 80%</t>
  </si>
  <si>
    <t>Épargne annuelle actuelle :</t>
  </si>
  <si>
    <t>Épargne annuelle proposée :</t>
  </si>
  <si>
    <t>Financiabilidade de propriedade imobiliária PARA:</t>
  </si>
  <si>
    <t>Rendimento bruto anual total:</t>
  </si>
  <si>
    <t>Custos totais anuais para leasing e créditos</t>
  </si>
  <si>
    <t>Receitas totais anuais de aluguéis (para imóveis multifamiliares)</t>
  </si>
  <si>
    <t>Capital disponível atualmente na LPP:</t>
  </si>
  <si>
    <t>Contribuições totais anuais LPP:</t>
  </si>
  <si>
    <t>SITUAÇÃO ATUAL PARA O FINANCIAMENTO:</t>
  </si>
  <si>
    <t>Financiamento máximo, dado o capital próprio em dinheiro + 3º pil.</t>
  </si>
  <si>
    <t>Financiamento máximo dado o capital próprio total:</t>
  </si>
  <si>
    <t>Financiamento máximo dado a sustentabilidade da renda:</t>
  </si>
  <si>
    <t>FINANCIABILIDADE NO TEMPO COM ECONOMIA MENSAL:</t>
  </si>
  <si>
    <t>Financiamento</t>
  </si>
  <si>
    <t>LIMITE DE COMPRA</t>
  </si>
  <si>
    <t>Capital disponível para compra</t>
  </si>
  <si>
    <t>Outras formas de capital (aluguel com opção de compra, garantias, etc.)</t>
  </si>
  <si>
    <t>Crédito para financiamento além de 80%</t>
  </si>
  <si>
    <t>Economia anual atual:</t>
  </si>
  <si>
    <t>Economia anual proposta:</t>
  </si>
  <si>
    <t>Доступность жилья для собственности ДЛЯ:</t>
  </si>
  <si>
    <t>Общий годовой доход:</t>
  </si>
  <si>
    <t>Общие годовые расходы по лизингу и кредитам</t>
  </si>
  <si>
    <t>Общие годовые поступления от аренды (для многоквартирных домов)</t>
  </si>
  <si>
    <t>Доступный капитал на текущий момент по LPP:</t>
  </si>
  <si>
    <t>Общие годовые взносы по LPP:</t>
  </si>
  <si>
    <t>ТЕКУЩАЯ СИТУАЦИЯ ДЛЯ ФИНАНСИРОВАНИЯ:</t>
  </si>
  <si>
    <t>Максимальное финансирование, учитывая собственный капитал наличными + 3-й столбец.</t>
  </si>
  <si>
    <t>Максимальное финансирование с учетом общего собственного капитала:</t>
  </si>
  <si>
    <t>Максимальное финансирование с учетом устойчивости дохода:</t>
  </si>
  <si>
    <t>ФИНАНСИРОВАНИЕ В ДОЛГОСРОЧНОЙ ПЕРСПЕКТИВЕ С МЕСЯЧНЫМ СБЕРЕЖЕНИЕМ:</t>
  </si>
  <si>
    <t>Финансирование</t>
  </si>
  <si>
    <t>ЛИМИТ ПОКУПКИ</t>
  </si>
  <si>
    <t>Доступный капитал для покупки</t>
  </si>
  <si>
    <t>Другие формы капитала (аренда с правом выкупа, гарантии и т.д.)</t>
  </si>
  <si>
    <t>Кредит для финансирования свыше 80%</t>
  </si>
  <si>
    <t>Текущие годовые сбережения:</t>
  </si>
  <si>
    <t>Предложенные годовые сбережения:</t>
  </si>
  <si>
    <t>Affordability of homeownership FOR:</t>
  </si>
  <si>
    <t>Total gross annual income:</t>
  </si>
  <si>
    <t>Total annual costs for leasing and credits</t>
  </si>
  <si>
    <t>Total annual rental income (for multi-family houses)</t>
  </si>
  <si>
    <t>Currently available capital on LPP:</t>
  </si>
  <si>
    <t>Total annual contributions to LPP:</t>
  </si>
  <si>
    <t>CURRENT SITUATION FOR FINANCING:</t>
  </si>
  <si>
    <t>Maximum financing, given cash equity + 3rd pillar</t>
  </si>
  <si>
    <t>Maximum financing given total equity:</t>
  </si>
  <si>
    <t>Maximum financing given income sustainability:</t>
  </si>
  <si>
    <t>AFFORDABILITY OVER TIME WITH MONTHLY SAVINGS:</t>
  </si>
  <si>
    <t>Financing</t>
  </si>
  <si>
    <t>PURCHASE LIMIT</t>
  </si>
  <si>
    <t>Capital available for purchase</t>
  </si>
  <si>
    <t>Other forms of capital (rent-to-own, guarantees, etc.)</t>
  </si>
  <si>
    <t>Credit for financing over 80%</t>
  </si>
  <si>
    <t>Current annual savings:</t>
  </si>
  <si>
    <t>Proposed annual savings:</t>
  </si>
  <si>
    <t>Financabilité pour LOCATION-VENTE :</t>
  </si>
  <si>
    <t>Financiabilidade para ARRENDAMENTO COM OPÇÃO DE COMPRA:</t>
  </si>
  <si>
    <t>Доступность для аренды с правом выкупа:</t>
  </si>
  <si>
    <t>Affordability for RENT-TO-OWN:</t>
  </si>
  <si>
    <t>inserire i dati nei campi di colore giallo</t>
  </si>
  <si>
    <t>Capitale proprio non LPP insufficiente (min 10%)</t>
  </si>
  <si>
    <t>capitale cash insufficiente per i costi di rogito (min 2%)</t>
  </si>
  <si>
    <t>capitale proprio insufficente (min. 20%)</t>
  </si>
  <si>
    <t>Oggetto a reddito: L'onere teorico max. totale (riga 29) deve essere coperto con le entrate da affitti (riga 32)</t>
  </si>
  <si>
    <t>sostenibilità insufficiente (max. 33%)</t>
  </si>
  <si>
    <t>richiesta ipotecaria eccessiva (max. 80% dell'investimento... aumentare il capitale proprio!)</t>
  </si>
  <si>
    <t>BERECHNUNG FÜR DIE FINANZIERUNG EINES WOHNEIGENTUMS</t>
  </si>
  <si>
    <t>Vom Kunden bereitgestellte Daten - Parameter des Finanzmarktes</t>
  </si>
  <si>
    <t>Berechnung für:</t>
  </si>
  <si>
    <t>Bewertung durchgeführt von:</t>
  </si>
  <si>
    <t>Objekt:</t>
  </si>
  <si>
    <t>ALLGEMEINE DATEN</t>
  </si>
  <si>
    <t>Kaufpreis:</t>
  </si>
  <si>
    <t>Kauf oder Refinanzierung? 0 = Refinanzierung, 1 = Kauf</t>
  </si>
  <si>
    <t>Gesamtkosten für die Beurkundung:</t>
  </si>
  <si>
    <t>Renovierungskosten:</t>
  </si>
  <si>
    <t>Renovierungsprojekt:</t>
  </si>
  <si>
    <t>Gesamtwert der Investition:</t>
  </si>
  <si>
    <t>Jahre bis zur Rente (bei natürlichen Personen)</t>
  </si>
  <si>
    <t>Amortisationsjahre</t>
  </si>
  <si>
    <t>Daten in den gelben Feldern eingeben</t>
  </si>
  <si>
    <t>BERECHNUNG DES EIGENKAPITALS:</t>
  </si>
  <si>
    <t>Eigenkapital LPP</t>
  </si>
  <si>
    <t>Eigenkapital in bar + 3 Säulen</t>
  </si>
  <si>
    <t>Jährlichkeit der neuen 3 Säulen</t>
  </si>
  <si>
    <t>Eigenkapital in Arbeiten</t>
  </si>
  <si>
    <t>Bereits eingezahlte Beträge, Erbschaften, Darlehen und andere</t>
  </si>
  <si>
    <t>Gesamtes Eigenkapital:</t>
  </si>
  <si>
    <t>Minimal erforderliches Eigenkapital:</t>
  </si>
  <si>
    <t>BERECHNUNG DER NACHHALTIGKEIT</t>
  </si>
  <si>
    <t>Maximale theoretische Jahreszinsen: (Standardwert, 5%)</t>
  </si>
  <si>
    <t>Minimale jährliche Amortisation:</t>
  </si>
  <si>
    <t>Instandhaltungskosten</t>
  </si>
  <si>
    <t>Maximale theoretische Gesamtbelastung:</t>
  </si>
  <si>
    <t>Gesamte jährliche Bruttoeinkommen:</t>
  </si>
  <si>
    <t>Einkünfte aus Mieten:</t>
  </si>
  <si>
    <t>Nachhaltigkeitsquote:</t>
  </si>
  <si>
    <t>Zusätzliche Garantie: Siehe Unterschied zur Nachhaltigkeit der Erben im Todesfall.</t>
  </si>
  <si>
    <t>Unzureichendes Eigenkapital ohne LPP (min. 10%)</t>
  </si>
  <si>
    <t>Unzureichendes Eigenkapital in bar für die Beurkundungskosten (min. 2%)</t>
  </si>
  <si>
    <t>Unzureichendes Eigenkapital (min. 20%)</t>
  </si>
  <si>
    <t>Ertragsobjekt: Die maximale theoretische Gesamtbelastung (Zeile 29) muss durch Mieteinnahmen (Zeile 32) gedeckt werden.</t>
  </si>
  <si>
    <t>Unzureichende Nachhaltigkeit (max. 33%)</t>
  </si>
  <si>
    <t>ANFRAGE FÜR HYPOTHEKEN:</t>
  </si>
  <si>
    <t>Max. Hypothek 1. Grad:</t>
  </si>
  <si>
    <t>Max. Hypothek 2. Grad:</t>
  </si>
  <si>
    <t>Max. Gesamt-Hypothek:</t>
  </si>
  <si>
    <t>Angeforderte Hypothek:</t>
  </si>
  <si>
    <t>CALCUL POUR LE FINANCEMENT D'UN BIEN IMMOBILIER</t>
  </si>
  <si>
    <t>Données fournies par le client - paramètres du marché financier</t>
  </si>
  <si>
    <t>Calcul pour :</t>
  </si>
  <si>
    <t>Évaluation effectuée par :</t>
  </si>
  <si>
    <t>Calcul de :</t>
  </si>
  <si>
    <t>Objet :</t>
  </si>
  <si>
    <t>DONNÉES GÉNÉRALES</t>
  </si>
  <si>
    <t>Valeur d'achat :</t>
  </si>
  <si>
    <t>Achat ou refinancement ? 0 = refinancement, 1 = achat</t>
  </si>
  <si>
    <t>Coûts totaux des actes :</t>
  </si>
  <si>
    <t>Coûts de rénovation :</t>
  </si>
  <si>
    <t>Projet de rénovation :</t>
  </si>
  <si>
    <t>Valeur totale de l'investissement :</t>
  </si>
  <si>
    <t>Années jusqu'à la retraite (si personne physique)</t>
  </si>
  <si>
    <t>Années de l'amortissement</t>
  </si>
  <si>
    <t>Part de l'hypothèque à amortir :</t>
  </si>
  <si>
    <t>Saisir les données dans les champs jaunes</t>
  </si>
  <si>
    <t>CALCUL DU CAPITAL PROPRE :</t>
  </si>
  <si>
    <t>Capital propre LPP</t>
  </si>
  <si>
    <t>Capital propre liquide + 3 piliers</t>
  </si>
  <si>
    <t>Annuité 3 piliers nouveaux</t>
  </si>
  <si>
    <t>Capital propre en travaux</t>
  </si>
  <si>
    <t>Déjà versé, héritages, prêts et autres</t>
  </si>
  <si>
    <t>Capital propre total :</t>
  </si>
  <si>
    <t>Capital propre minimum nécessaire :</t>
  </si>
  <si>
    <t>CALCUL DE LA SOUTENABILITÉ</t>
  </si>
  <si>
    <t>Intérêts théoriques max. annuels : (valeur standard, 5 %)</t>
  </si>
  <si>
    <t>Amortissement annuel min. obligatoire</t>
  </si>
  <si>
    <t>Frais de maintenance</t>
  </si>
  <si>
    <t>Charge théorique max. totale :</t>
  </si>
  <si>
    <t>Total des revenus bruts annuels :</t>
  </si>
  <si>
    <t>Revenus des loyers :</t>
  </si>
  <si>
    <t>Pourcentage de soutenabilité :</t>
  </si>
  <si>
    <t>Garantie supplémentaire : Voir la différence avec la soutenabilité des héritiers en cas de décès.</t>
  </si>
  <si>
    <t>Capital propre non LPP insuffisant (min. 10 %)</t>
  </si>
  <si>
    <t>Capital liquide insuffisant pour les frais de notaire (min. 2 %)</t>
  </si>
  <si>
    <t>Capital propre insuffisant (min. 20 %)</t>
  </si>
  <si>
    <t>Bien à revenu : La charge théorique max. totale (ligne 29) doit être couverte par les revenus locatifs (ligne 32)</t>
  </si>
  <si>
    <t>Soutenabilité insuffisante (max. 33 %)</t>
  </si>
  <si>
    <t>DEMANDE DE CRÉDIT HYPOTHÉCAIRE :</t>
  </si>
  <si>
    <t>Hypothèque 1er rang max :</t>
  </si>
  <si>
    <t>Hypothèque 2e rang max :</t>
  </si>
  <si>
    <t>Hypothèque totale max :</t>
  </si>
  <si>
    <t>Hypothèque demandée :</t>
  </si>
  <si>
    <t>Demande hypothécaire excessive (max. 80 % de l'investissement... augmenter le capital propre !)</t>
  </si>
  <si>
    <t>CÁLCULO PARA O FINANCIAMENTO DE UM IMÓVEL</t>
  </si>
  <si>
    <t>Dados fornecidos pelo cliente - parâmetros do mercado financeiro</t>
  </si>
  <si>
    <t>Cálculo para:</t>
  </si>
  <si>
    <t>Avaliação realizada por:</t>
  </si>
  <si>
    <t>Objeto:</t>
  </si>
  <si>
    <t>DADOS GERAIS</t>
  </si>
  <si>
    <t>Valor de Compra:</t>
  </si>
  <si>
    <t>Compra ou refinanciamento? 0 = refinanciamento, 1 = compra</t>
  </si>
  <si>
    <t>Custos totais de escritura:</t>
  </si>
  <si>
    <t>Custos de reforma:</t>
  </si>
  <si>
    <t>Projeto para reforma:</t>
  </si>
  <si>
    <t>Valor total do investimento:</t>
  </si>
  <si>
    <t>Anos até a aposentadoria (se pessoa física)</t>
  </si>
  <si>
    <t>Anos de amortização</t>
  </si>
  <si>
    <t>Parte da hipoteca a ser amortizada:</t>
  </si>
  <si>
    <t>Inserir os dados nos campos amarelos</t>
  </si>
  <si>
    <t>CÁLCULO DO CAPITAL PRÓPRIO:</t>
  </si>
  <si>
    <t>Capital próprio LPP</t>
  </si>
  <si>
    <t>Capital próprio em dinheiro + 3 pilares</t>
  </si>
  <si>
    <t>Anuidade dos novos 3 pilares</t>
  </si>
  <si>
    <t>Capital próprio em trabalhos</t>
  </si>
  <si>
    <t>Já pago, heranças, empréstimos e outros</t>
  </si>
  <si>
    <t>Capital próprio total:</t>
  </si>
  <si>
    <t>Capital próprio mínimo necessário:</t>
  </si>
  <si>
    <t>CÁLCULO DA SUSTENTABILIDADE</t>
  </si>
  <si>
    <t>Juros teóricos máximos anuais: (valor padrão, 5%)</t>
  </si>
  <si>
    <t>Amortização anual mínima obrigatória</t>
  </si>
  <si>
    <t>Despesas de manutenção</t>
  </si>
  <si>
    <t>Encargo teórico máximo total:</t>
  </si>
  <si>
    <t>Total de rendimentos brutos anuais:</t>
  </si>
  <si>
    <t>Rendimentos de aluguéis:</t>
  </si>
  <si>
    <t>Percentual de sustentabilidade:</t>
  </si>
  <si>
    <t>Garantia adicional: Veja a diferença com a sustentabilidade dos herdeiros em caso de falecimento.</t>
  </si>
  <si>
    <t>Capital próprio não LPP insuficiente (mín. 10%)</t>
  </si>
  <si>
    <t>Capital em dinheiro insuficiente para custos de escritura (mín. 2%)</t>
  </si>
  <si>
    <t>Capital próprio insuficiente (mín. 20%)</t>
  </si>
  <si>
    <t>Imóvel para rendimento: O encargo teórico máximo total (linha 29) deve ser coberto pelos rendimentos de aluguéis (linha 32)</t>
  </si>
  <si>
    <t>Sustentabilidade insuficiente (máx. 33%)</t>
  </si>
  <si>
    <t>SOLICITAÇÃO DE HIPOTECA:</t>
  </si>
  <si>
    <t>Hipoteca 1º grau max:</t>
  </si>
  <si>
    <t>Hipoteca 2º grau max:</t>
  </si>
  <si>
    <t>Hipoteca total max:</t>
  </si>
  <si>
    <t>Hipoteca solicitada:</t>
  </si>
  <si>
    <t>Solicitação de hipoteca excessiva (máx. 80% do investimento... aumentar</t>
  </si>
  <si>
    <t>РАСЧЕТ ДЛЯ ФИНАНСИРОВАНИЯ НЕДВИЖИМОСТИ</t>
  </si>
  <si>
    <t>Данные, предоставленные клиентом - параметры финансового рынка</t>
  </si>
  <si>
    <t>Расчет для:</t>
  </si>
  <si>
    <t>Оценка, проведенная:</t>
  </si>
  <si>
    <t>Параметры расчета:</t>
  </si>
  <si>
    <t>Объект:</t>
  </si>
  <si>
    <t>ОБЩИЕ ДАННЫЕ</t>
  </si>
  <si>
    <t>Цена покупки:</t>
  </si>
  <si>
    <t>Покупка или рефинансирование? 0 = рефинансирование, 1 = покупка</t>
  </si>
  <si>
    <t>Общие расходы на нотариус:</t>
  </si>
  <si>
    <t>Расходы на ремонт:</t>
  </si>
  <si>
    <t>Проект для ремонта:</t>
  </si>
  <si>
    <t>Общая стоимость инвестиций:</t>
  </si>
  <si>
    <t>Годы до пенсии (для физических лиц)</t>
  </si>
  <si>
    <t>Годы амортизации</t>
  </si>
  <si>
    <t>Часть ипотеки для амортизации:</t>
  </si>
  <si>
    <t>Введите данные в желтые поля</t>
  </si>
  <si>
    <t>РАСЧЕТ СОБСТВЕННОГО КАПИТАЛА:</t>
  </si>
  <si>
    <t>Собственный капитал LPP</t>
  </si>
  <si>
    <t>Собственный капитал наличными + 3 столбца</t>
  </si>
  <si>
    <t>Аннуитет новых 3 столбцов</t>
  </si>
  <si>
    <t>Собственный капитал в работах</t>
  </si>
  <si>
    <t>Уже оплачено, наследства, кредиты и другое</t>
  </si>
  <si>
    <t>Общий собственный капитал:</t>
  </si>
  <si>
    <t>Минимально необходимый собственный капитал:</t>
  </si>
  <si>
    <t>РАСЧЕТ УСТОЙЧИВОСТИ</t>
  </si>
  <si>
    <t>Максимальные теоретические годовые проценты: (стандартное значение, 5%)</t>
  </si>
  <si>
    <t>Минимальное обязательное ежегодное амортизирование</t>
  </si>
  <si>
    <t>Расходы на обслуживание</t>
  </si>
  <si>
    <t>Максимальная теоретическая общая нагрузка:</t>
  </si>
  <si>
    <t>Общий годовой доход до налогообложения:</t>
  </si>
  <si>
    <t>Доход от аренды:</t>
  </si>
  <si>
    <t>Процент устойчивости:</t>
  </si>
  <si>
    <t>Дополнительная гарантия: См. разницу с устойчивостью наследников в случае смерти.</t>
  </si>
  <si>
    <t>Недостаточный собственный капитал без LPP (мин. 10%)</t>
  </si>
  <si>
    <t>Недостаточный наличный капитал для нотариальных расходов (мин. 2%)</t>
  </si>
  <si>
    <t>Недостаточный собственный капитал (мин. 20%)</t>
  </si>
  <si>
    <t>Доходный объект: Максимальная теоретическая нагрузка (строка 29) должна быть покрыта доходами от аренды (строка 32)</t>
  </si>
  <si>
    <t>Недостаточная устойчивость (макс. 33%)</t>
  </si>
  <si>
    <t>ЗАПРОС ПО ИПОТЕКЕ:</t>
  </si>
  <si>
    <t>Макс. ипотека 1-й степени:</t>
  </si>
  <si>
    <t>Макс. ипотека 2-й степени:</t>
  </si>
  <si>
    <t>Макс. общая ипотека:</t>
  </si>
  <si>
    <t>Запрашиваемая ипотека:</t>
  </si>
  <si>
    <t>Чрезмерный запрос на ипотеку (макс. 80% от инвестиций... увеличьте собственный капитал!)</t>
  </si>
  <si>
    <t>CALCULATION FOR THE FINANCING OF A PROPERTY</t>
  </si>
  <si>
    <t>Data provided by the client - financial market parameters</t>
  </si>
  <si>
    <t>Calculation for:</t>
  </si>
  <si>
    <t>Evaluation carried out by:</t>
  </si>
  <si>
    <t>Property:</t>
  </si>
  <si>
    <t>GENERAL DATA</t>
  </si>
  <si>
    <t>Purchase value:</t>
  </si>
  <si>
    <t>Purchase or refinancing? 0 = refinancing, 1 = purchase</t>
  </si>
  <si>
    <t>Total notary fees:</t>
  </si>
  <si>
    <t>Renovation costs:</t>
  </si>
  <si>
    <t>Renovation project:</t>
  </si>
  <si>
    <t>Total investment value:</t>
  </si>
  <si>
    <t>Years to retirement (if individual)</t>
  </si>
  <si>
    <t>Years of amortization</t>
  </si>
  <si>
    <t>Part of the mortgage to be amortized:</t>
  </si>
  <si>
    <t>Enter data in the yellow fields</t>
  </si>
  <si>
    <t>CALCULATION OF EQUITY:</t>
  </si>
  <si>
    <t>Equity LPP</t>
  </si>
  <si>
    <t>Equity cash + 3 pillars</t>
  </si>
  <si>
    <t>New 3 pillars annuity</t>
  </si>
  <si>
    <t>Equity in works</t>
  </si>
  <si>
    <t>Already paid, inheritances, loans, and others</t>
  </si>
  <si>
    <t>Total equity:</t>
  </si>
  <si>
    <t>Minimum necessary equity:</t>
  </si>
  <si>
    <t>SUSTAINABILITY CALCULATION</t>
  </si>
  <si>
    <t>Maximum theoretical annual interest: (standard value, 5%)</t>
  </si>
  <si>
    <t>Minimum required annual amortization</t>
  </si>
  <si>
    <t>Maintenance costs</t>
  </si>
  <si>
    <t>Maximum theoretical total burden:</t>
  </si>
  <si>
    <t>Total annual gross income:</t>
  </si>
  <si>
    <t>Rental income:</t>
  </si>
  <si>
    <t>Sustainability percentage:</t>
  </si>
  <si>
    <t>Additional guarantee: See the difference with heirs' sustainability in case of death.</t>
  </si>
  <si>
    <t>Insufficient LPP equity (min. 10%)</t>
  </si>
  <si>
    <t>Insufficient cash equity for notary fees (min. 2%)</t>
  </si>
  <si>
    <t>Insufficient equity (min. 20%)</t>
  </si>
  <si>
    <t>Income property: The maximum theoretical total burden (line 29) must be covered by rental income (line 32)</t>
  </si>
  <si>
    <t>Insufficient sustainability (max. 33%)</t>
  </si>
  <si>
    <t>MORTGAGE REQUEST:</t>
  </si>
  <si>
    <t>Max 1st degree mortgage:</t>
  </si>
  <si>
    <t>Max 2nd degree mortgage:</t>
  </si>
  <si>
    <t>Max total mortgage:</t>
  </si>
  <si>
    <t>Requested mortgage:</t>
  </si>
  <si>
    <t>Excessive mortgage request (max. 80% of the investment... increase equity!)</t>
  </si>
  <si>
    <t>HINWEIS FÜR DEN BERATER</t>
  </si>
  <si>
    <t>Verwenden Sie diese Tabelle, um vorab festgelegte Werte aus der automatisierten Berechnung zu korrigieren. Um Daten zu ändern, entfernen Sie den Blattschutz und nehmen Sie die Änderungen vor.</t>
  </si>
  <si>
    <t>KONTROLLFORMULAR</t>
  </si>
  <si>
    <t>VOM KUNDEN ANGEGEBENE DATEN:</t>
  </si>
  <si>
    <t>Geschlecht (Mann = 1 / Frau = 0)</t>
  </si>
  <si>
    <t>Aktuelles Bruttojahresgehalt</t>
  </si>
  <si>
    <t>Jährlicher Bedarf (Rente/Invalidität)</t>
  </si>
  <si>
    <t>Jährlicher Bedarf im Falle von Witwenschaft</t>
  </si>
  <si>
    <t>Verpflichtungen, die bis zur Pensionierung zu begleichen sind</t>
  </si>
  <si>
    <t>Jährliche Leasing- und private Kreditkosten</t>
  </si>
  <si>
    <t>Verfügbares Kapital für den Kauf von Wohneigentum</t>
  </si>
  <si>
    <t>Aktuelle jährliche Ersparnisse</t>
  </si>
  <si>
    <t>Jährliche Ersparnisse für das Wohnziel</t>
  </si>
  <si>
    <t>Krankenversicherungsschutz des Gehalts (%)</t>
  </si>
  <si>
    <t>Anwendbare Skala: (44?)</t>
  </si>
  <si>
    <t>Name und Vorname</t>
  </si>
  <si>
    <t>Jahre</t>
  </si>
  <si>
    <t>Anzahl der Kinder</t>
  </si>
  <si>
    <t>1 / 0</t>
  </si>
  <si>
    <t>Jährlicher Betrag</t>
  </si>
  <si>
    <t>Kapital</t>
  </si>
  <si>
    <t>Prozentsatz</t>
  </si>
  <si>
    <t>Skalennummer</t>
  </si>
  <si>
    <t>Ja=1 / Nein=0</t>
  </si>
  <si>
    <t>Vorgegebene Daten für die 3a Berechnung des Kunden</t>
  </si>
  <si>
    <t>Jahr</t>
  </si>
  <si>
    <t>Einkommensentwicklung</t>
  </si>
  <si>
    <t>NOTE POUR LE CONSEILLER</t>
  </si>
  <si>
    <t>Utilisez ce tableau pour corriger les éventuelles valeurs prédéfinies par le calcul automatisé. Pour modifier les données, supprimez la protection de la feuille et effectuez les modifications.</t>
  </si>
  <si>
    <t>FORMULAIRE DE CONTRÔLE</t>
  </si>
  <si>
    <t>DONNÉES FOURNIES PAR LE CLIENT :</t>
  </si>
  <si>
    <t>Nombre d'enfants mineurs ou étudiants :</t>
  </si>
  <si>
    <t>Sexe (Homme = 1 / Femme = 0)</t>
  </si>
  <si>
    <t>Salaire brut annuel actuel</t>
  </si>
  <si>
    <t>Besoin annuel (Pension/invalidité)</t>
  </si>
  <si>
    <t>Besoin annuel en cas de veuvage</t>
  </si>
  <si>
    <t>Engagements à liquider avant la retraite</t>
  </si>
  <si>
    <t>Coûts annuels pour leasing et crédits privés</t>
  </si>
  <si>
    <t>Capital disponible pour l'achat de bien immobilier</t>
  </si>
  <si>
    <t>Épargne annuelle actuelle</t>
  </si>
  <si>
    <t>Épargne annuelle pour objectif immobilier</t>
  </si>
  <si>
    <t>Protection du salaire maladie (%)</t>
  </si>
  <si>
    <t>Indemnité journalière Lainf (%)</t>
  </si>
  <si>
    <t>Invalidité Lainf (%)</t>
  </si>
  <si>
    <t>Rente AVS/AI avant splitting (mensuel à échelle 44)</t>
  </si>
  <si>
    <t>Rente AVS/AI après splitting (réduite pour les couples, 150 % max et sans rente pour enfants) (mensuel à échelle 44)</t>
  </si>
  <si>
    <t>Échelle applicable : (44 ?)</t>
  </si>
  <si>
    <t>Rente LPP invalidité annuelle</t>
  </si>
  <si>
    <t>Rente LPP pour la pension annuelle</t>
  </si>
  <si>
    <t>Capital actuel sur LPP pour l'immobilier</t>
  </si>
  <si>
    <t>Contribution annuelle totale à la LPP</t>
  </si>
  <si>
    <t>Le client a-t-il droit à une rente de veuvage AVS si le partenaire décède ?</t>
  </si>
  <si>
    <t>Le client a-t-il droit à une rente de veuvage LPP si le partenaire décède ?</t>
  </si>
  <si>
    <t>Le client a-t-il droit à une rente de veuvage LAINF si le partenaire décède ?</t>
  </si>
  <si>
    <t>Nombre d'enfants</t>
  </si>
  <si>
    <t>Montant annuel</t>
  </si>
  <si>
    <t>Capital</t>
  </si>
  <si>
    <t>Pourcentage</t>
  </si>
  <si>
    <t>Numéro d'échelle</t>
  </si>
  <si>
    <t>Oui=1 / Non=0</t>
  </si>
  <si>
    <t>Données prédéfinies pour le calcul 3a du client</t>
  </si>
  <si>
    <t>Personnalisation du calcul des charges : Données prédéfinies pour le calcul éventuel de la durabilité ;</t>
  </si>
  <si>
    <t>Évolution des dettes dans le temps sans épargne proposée</t>
  </si>
  <si>
    <t>Année</t>
  </si>
  <si>
    <t>Charge annuelle leasing/dettes privées</t>
  </si>
  <si>
    <t>Évolution des dettes dans le temps AVEC épargne proposée</t>
  </si>
  <si>
    <t>Évolution des revenus dans le temps - situation actuelle</t>
  </si>
  <si>
    <t>Évolution des revenus</t>
  </si>
  <si>
    <t>Évolution des revenus dans le temps - situation proposée</t>
  </si>
  <si>
    <t>Évolution de l'épargne dans le temps uniquement avec l'épargne actuelle</t>
  </si>
  <si>
    <t>Évolution de l'épargne</t>
  </si>
  <si>
    <t>Évolution de l'épargne dans le temps - proposé</t>
  </si>
  <si>
    <t>NOTA PARA O CONSULENTE</t>
  </si>
  <si>
    <t>Use esta tabela para corrigir eventuais valores predefinidos pelo cálculo automatizado. Para modificar os dados, remova a proteção da planilha e faça as alterações.</t>
  </si>
  <si>
    <t>MÓDULO DE CONTROLE</t>
  </si>
  <si>
    <t>DADOS FORNECIDOS PELO CLIENTE:</t>
  </si>
  <si>
    <t>Número de filhos menores ou estudantes:</t>
  </si>
  <si>
    <t>Sexo (Homem = 1 / Mulher = 0)</t>
  </si>
  <si>
    <t>Salário bruto anual atual</t>
  </si>
  <si>
    <t>Necessidade anual (Pensão/invalid.)</t>
  </si>
  <si>
    <t>Necessidade anual em caso de falecimento do cônjuge</t>
  </si>
  <si>
    <t>Compromissos a serem liquidados antes da aposentadoria</t>
  </si>
  <si>
    <t>Custos anuais para leasing e créditos privados</t>
  </si>
  <si>
    <t>Capital disponível para aquisição de imóvel</t>
  </si>
  <si>
    <t>Economia anual atual</t>
  </si>
  <si>
    <t>Economia anual para objetivo de imóvel</t>
  </si>
  <si>
    <t>Proteção de salário doença (%)</t>
  </si>
  <si>
    <t>Indemnização diária Lainf (%)</t>
  </si>
  <si>
    <t>Invalidez Lainf (%)</t>
  </si>
  <si>
    <t>Rendimento AVS/AI antes do split (mensal, escala 44)</t>
  </si>
  <si>
    <t>Rendimento AVS/AI pós-split (reduzido para casados, no máximo 150% e sem rendimento para filhos) (mensal, escala 44)</t>
  </si>
  <si>
    <t>Escala aplicável: (44?)</t>
  </si>
  <si>
    <t>Rendimento LPP invalidez anual</t>
  </si>
  <si>
    <t>Rendimento LPP para aposentadoria anual</t>
  </si>
  <si>
    <t>Capital atual no LPP para imóvel</t>
  </si>
  <si>
    <t>Contribuição anual total ao LPP</t>
  </si>
  <si>
    <t>O cliente tem direito a uma pensão de viuvez AVS se o parceiro falecer?</t>
  </si>
  <si>
    <t>O cliente tem direito a uma pensão de viuvez LPP se o parceiro falecer?</t>
  </si>
  <si>
    <t>O cliente tem direito a uma pensão de viuvez LAINF se o parceiro falecer?</t>
  </si>
  <si>
    <t>Número de filhos</t>
  </si>
  <si>
    <t>Valor anual</t>
  </si>
  <si>
    <t>Porcentagem</t>
  </si>
  <si>
    <t>Número da escala</t>
  </si>
  <si>
    <t>Sim=1 / Não=0</t>
  </si>
  <si>
    <t>Dados predefinidos para cálculo 3a do cliente</t>
  </si>
  <si>
    <t>Personalização do cálculo das obrigações: Dados predefinidos para o cálculo da sustentabilidade;</t>
  </si>
  <si>
    <t>Desenvolvimento das dívidas ao longo do tempo sem economia proposta</t>
  </si>
  <si>
    <t>Ano</t>
  </si>
  <si>
    <t>Encargo anual de leasing/dívidas privadas</t>
  </si>
  <si>
    <t>Desenvolvimento das dívidas ao longo do tempo COM economia proposta</t>
  </si>
  <si>
    <t>Desenvolvimento da renda ao longo do tempo na situação atual</t>
  </si>
  <si>
    <t>Desenvolvimento da renda</t>
  </si>
  <si>
    <t>Desenvolvimento da renda ao longo do tempo na situação proposta</t>
  </si>
  <si>
    <t>Desenvolvimento da economia ao longo do tempo com economia atual apenas</t>
  </si>
  <si>
    <t>Desenvolvimento da economia</t>
  </si>
  <si>
    <t>Desenvolvimento da economia ao longo do tempo proposto</t>
  </si>
  <si>
    <t>ПРИМЕЧАНИЕ ДЛЯ КОНСУЛЬТАНТА</t>
  </si>
  <si>
    <t>Используйте эту таблицу для коррекции заранее заданных значений из автоматизированного расчета. Чтобы изменить данные, удалите защиту листа и выполните изменения.</t>
  </si>
  <si>
    <t>ФОРМА КОНТРОЛЯ</t>
  </si>
  <si>
    <t>ДАННЫЕ, ПРЕДОСТАВЛЕННЫЕ КЛИЕНТОМ:</t>
  </si>
  <si>
    <t>Расчет пенсионного обеспечения для:</t>
  </si>
  <si>
    <t>Количество детей, несовершеннолетних или обучающихся:</t>
  </si>
  <si>
    <t>Пол (Мужчина = 1 / Женщина = 0)</t>
  </si>
  <si>
    <t>Текущий годовой доход брутто</t>
  </si>
  <si>
    <t>Годовая потребность (пенсия/инвалидность)</t>
  </si>
  <si>
    <t>Годовая потребность в случае вдовства</t>
  </si>
  <si>
    <t>Обязательства, которые необходимо погасить до пенсии</t>
  </si>
  <si>
    <t>Годовые расходы на лизинг, частные кредиты</t>
  </si>
  <si>
    <t>Доступный капитал для покупки недвижимости</t>
  </si>
  <si>
    <t>Текущие годовые сбережения</t>
  </si>
  <si>
    <t>Годовые сбережения для цели покупки недвижимости</t>
  </si>
  <si>
    <t>Защита зарплаты от болезни (%)</t>
  </si>
  <si>
    <t>Ежедневная выплата по Lainf (%)</t>
  </si>
  <si>
    <t>Инвалидность Lainf (%)</t>
  </si>
  <si>
    <t>Рента AVS/AI до сплита (ежемесячно по шкале 44)</t>
  </si>
  <si>
    <t>Рента AVS/AI после сплита (снижается для супругов, максимум 150% и без выплат для детей) (ежемесячно по шкале 44)</t>
  </si>
  <si>
    <t>Применимая шкала: (44?)</t>
  </si>
  <si>
    <t>Рента LPP по инвалидности ежегодно</t>
  </si>
  <si>
    <t>Рента LPP для пенсии ежегодно</t>
  </si>
  <si>
    <t>Текущий капитал на LPP для недвижимости</t>
  </si>
  <si>
    <t>Общий ежегодный взнос в LPP</t>
  </si>
  <si>
    <t>Имеет ли клиент право на вдовью ренту AVS, если партнер умирает?</t>
  </si>
  <si>
    <t>Имеет ли клиент право на вдовью ренту LPP, если партнер умирает?</t>
  </si>
  <si>
    <t>Имеет ли клиент право на вдовью ренту LAINF, если партнер умирает?</t>
  </si>
  <si>
    <t>Количество детей</t>
  </si>
  <si>
    <t>Годовая сумма</t>
  </si>
  <si>
    <t>Капитал</t>
  </si>
  <si>
    <t>Процент</t>
  </si>
  <si>
    <t>Номер шкалы</t>
  </si>
  <si>
    <t>Да=1 / Нет=0</t>
  </si>
  <si>
    <t>Заданные данные для расчета 3a клиента</t>
  </si>
  <si>
    <t>Персонализация расчета нагрузки: Заданные данные для возможного расчета устойчивости;</t>
  </si>
  <si>
    <t>Развитие долгов с течением времени без предложенных сбережений</t>
  </si>
  <si>
    <t>Год</t>
  </si>
  <si>
    <t>Годовая нагрузка по лизингу/частным долгам</t>
  </si>
  <si>
    <t>Развитие долгов с течением времени С предложенными сбережениями</t>
  </si>
  <si>
    <t>Развитие доходов с течением времени - текущая ситуация</t>
  </si>
  <si>
    <t>Развитие доходов</t>
  </si>
  <si>
    <t>Развитие доходов с течением времени - предложенная ситуация</t>
  </si>
  <si>
    <t>Развитие сбережений с течением времени только с текущими сбережениями</t>
  </si>
  <si>
    <t>Развитие сбережений</t>
  </si>
  <si>
    <t>Развитие сбережений с течением времени - предложенное</t>
  </si>
  <si>
    <t>NOTE FOR THE CONSULTANT</t>
  </si>
  <si>
    <t>Use this table to correct any pre-set values from the automated calculation. To modify data, remove the sheet protection and make the changes.</t>
  </si>
  <si>
    <t>CONTROL FORM</t>
  </si>
  <si>
    <t>DATA PROVIDED BY THE CLIENT:</t>
  </si>
  <si>
    <t>Pension calculation for:</t>
  </si>
  <si>
    <t>Number of minor or studying children:</t>
  </si>
  <si>
    <t>Gender (Male = 1 / Female = 0)</t>
  </si>
  <si>
    <t>Current gross annual salary</t>
  </si>
  <si>
    <t>Annual need (Pension/invalidity)</t>
  </si>
  <si>
    <t>Annual need in case of widowhood</t>
  </si>
  <si>
    <t>Commitments to settle before retirement</t>
  </si>
  <si>
    <t>Annual costs for leasing, private credits</t>
  </si>
  <si>
    <t>Capital available for property purchase</t>
  </si>
  <si>
    <t>Current annual savings</t>
  </si>
  <si>
    <t>Annual savings for property goal</t>
  </si>
  <si>
    <t>Salary protection against illness (%)</t>
  </si>
  <si>
    <t>Daily allowance Lainf (%)</t>
  </si>
  <si>
    <t>Disability Lainf (%)</t>
  </si>
  <si>
    <t>AVS/AI pension before splitting (monthly according to scale 44)</t>
  </si>
  <si>
    <t>AVS/AI pension after splitting (reduced for married, max 150%, and without child pension) (monthly according to scale 44)</t>
  </si>
  <si>
    <t>Applicable scale: (44?)</t>
  </si>
  <si>
    <t>LPP disability pension annually</t>
  </si>
  <si>
    <t>LPP pension for retirement annually</t>
  </si>
  <si>
    <t>Current capital on LPP for housing</t>
  </si>
  <si>
    <t>Total annual LPP contribution</t>
  </si>
  <si>
    <t>Does the client have the right to an AVS widow's pension if the partner dies?</t>
  </si>
  <si>
    <t>Does the client have the right to an LPP widow's pension if the partner dies?</t>
  </si>
  <si>
    <t>Does the client have the right to a LAINF widow's pension if the partner dies?</t>
  </si>
  <si>
    <t>Full name</t>
  </si>
  <si>
    <t>Years</t>
  </si>
  <si>
    <t>Number of children</t>
  </si>
  <si>
    <t>Annual amount</t>
  </si>
  <si>
    <t>Percentage</t>
  </si>
  <si>
    <t>Scale number</t>
  </si>
  <si>
    <t>Yes=1 / No=0</t>
  </si>
  <si>
    <t>Pre-set data for 3a client calculation</t>
  </si>
  <si>
    <t>Customization of burden calculation: Pre-set data for possible sustainability calculation;</t>
  </si>
  <si>
    <t>Debt development over time without proposed savings</t>
  </si>
  <si>
    <t>Year</t>
  </si>
  <si>
    <t>Annual leasing/private debt burden</t>
  </si>
  <si>
    <t>Debt development over time WITH proposed savings</t>
  </si>
  <si>
    <t>Income development over time current situation</t>
  </si>
  <si>
    <t>Income development</t>
  </si>
  <si>
    <t>Income development over time proposed situation</t>
  </si>
  <si>
    <t>Savings development over time with only current savings</t>
  </si>
  <si>
    <t>Savings development</t>
  </si>
  <si>
    <t>Savings development over time proposed</t>
  </si>
  <si>
    <t>Dati preimpostati per calcolo previdenziale</t>
  </si>
  <si>
    <t>Données prédéfinies pour le calcul de la prévoyance</t>
  </si>
  <si>
    <t>Données prédéfinies pour le calcul de la prévoyance du partenaire</t>
  </si>
  <si>
    <t>Dados predefinidos para o cálculo previdenciário</t>
  </si>
  <si>
    <t>Dados predefinidos para o cálculo previdenciário do parceiro</t>
  </si>
  <si>
    <t>Заданные данные для расчета пенсионного обеспечения</t>
  </si>
  <si>
    <t>Заданные данные для расчета пенсионного обеспечения партнера</t>
  </si>
  <si>
    <t>Pre-set data for pension calculation</t>
  </si>
  <si>
    <t>Pre-set data for partner's pension calculation</t>
  </si>
  <si>
    <r>
      <t>Imposta ordinaria</t>
    </r>
    <r>
      <rPr>
        <i/>
        <sz val="10.5"/>
        <color indexed="8"/>
        <rFont val="Arial Narrow"/>
        <family val="2"/>
      </rPr>
      <t xml:space="preserve"> (opzionale)</t>
    </r>
  </si>
  <si>
    <r>
      <t xml:space="preserve">Imposta alla Fonte </t>
    </r>
    <r>
      <rPr>
        <i/>
        <sz val="10.5"/>
        <color indexed="8"/>
        <rFont val="Arial Narrow"/>
        <family val="2"/>
      </rPr>
      <t xml:space="preserve"> (opzionale)</t>
    </r>
  </si>
  <si>
    <t>AVS</t>
  </si>
  <si>
    <t>AI</t>
  </si>
  <si>
    <t>LAINF</t>
  </si>
  <si>
    <t>AHV</t>
  </si>
  <si>
    <t>IV</t>
  </si>
  <si>
    <t>Kr. Taggeld</t>
  </si>
  <si>
    <t>LAA</t>
  </si>
  <si>
    <t>Indemn. Journ. Maladie</t>
  </si>
  <si>
    <t>Ind. giorn. Malattia</t>
  </si>
  <si>
    <t>Indemn. Diária Doença</t>
  </si>
  <si>
    <t>Eжедневн. пособия болезни</t>
  </si>
  <si>
    <t>Daily Sick. Allow. Ins.</t>
  </si>
  <si>
    <t>UVG</t>
  </si>
  <si>
    <t>Incapacità al guadagno per malattia</t>
  </si>
  <si>
    <t>Incapacità al guadagno per infortunio</t>
  </si>
  <si>
    <t>Rendite al pensionamento</t>
  </si>
  <si>
    <t>Erwerbsunfähigkeit wegen Krankheit</t>
  </si>
  <si>
    <t>Erwerbsunfähigkeit wegen Unfall</t>
  </si>
  <si>
    <t>Altersrenten</t>
  </si>
  <si>
    <t>Incapacité de gain pour maladie</t>
  </si>
  <si>
    <t>Incapacité de gain pour accident</t>
  </si>
  <si>
    <t>Rentes de retraite</t>
  </si>
  <si>
    <t>Incapacidade de ganho por doença</t>
  </si>
  <si>
    <t>Incapacidade de ganho por acidente</t>
  </si>
  <si>
    <t>Pensões de aposentadoria</t>
  </si>
  <si>
    <t>Нетрудоспособность по болезни</t>
  </si>
  <si>
    <t>Нетрудоспособность из-за несчастного случая</t>
  </si>
  <si>
    <t>Пенсии по старости</t>
  </si>
  <si>
    <t>Loss of earnings due to illness</t>
  </si>
  <si>
    <t>Loss of earnings due to accident</t>
  </si>
  <si>
    <t>Retirement pensions</t>
  </si>
  <si>
    <t>Skala 44 AHV/IV/EO+ Infos bereitgestellt von:</t>
  </si>
  <si>
    <t xml:space="preserve">Scala 44 AVS/AI/IPG + Info fornite da: </t>
  </si>
  <si>
    <t>Échelle 44 AVS/AI/IPG+ Infos fournies par:</t>
  </si>
  <si>
    <t>Шкала 44 AHV/IV/EO + Информация предоставлена:</t>
  </si>
  <si>
    <t>Escala 44 AVS/AI/IPG + Informações fornecidas por:</t>
  </si>
  <si>
    <t>Scale 44 AHV/IV/IPG - Info provided by:</t>
  </si>
  <si>
    <t>Ist-Situation</t>
  </si>
  <si>
    <t>Soll-Situation</t>
  </si>
  <si>
    <t>Zusätzl. IV-Rente Kinder</t>
  </si>
  <si>
    <t>Rend. suppl. AI figli</t>
  </si>
  <si>
    <t>Rente suppl. AI enfants</t>
  </si>
  <si>
    <t>Pens. supl. AI filhos</t>
  </si>
  <si>
    <t>Supp. AI pens. children</t>
  </si>
  <si>
    <t>Rend. suppl. LPP figli</t>
  </si>
  <si>
    <t>Zusätzl. BVG-Rente Kinder</t>
  </si>
  <si>
    <t>Rente suppl. LPP enfants</t>
  </si>
  <si>
    <t>Pens. supl. LPP filhos</t>
  </si>
  <si>
    <t>Дополн. пенсия LPP инв. дети</t>
  </si>
  <si>
    <t>Дополн. пенсия AI инв. дети</t>
  </si>
  <si>
    <t>Inv. con suppl. x figli &lt; 18/25 anni</t>
  </si>
  <si>
    <t>Monatlicher Bedarf</t>
  </si>
  <si>
    <t>Fabbisogno mensile</t>
  </si>
  <si>
    <t>Malattia: I.G. - 720 gg.</t>
  </si>
  <si>
    <t>Maladie : I.G.  - 720 j.</t>
  </si>
  <si>
    <t>Doença: I.G. - 720 d.</t>
  </si>
  <si>
    <t xml:space="preserve">Болезнь: I.G. </t>
  </si>
  <si>
    <t>Illness: I.G. - 720 d.</t>
  </si>
  <si>
    <t>Inv. mit Kinderzuschlag</t>
  </si>
  <si>
    <t>Inv. ohne Kinderzuschlag</t>
  </si>
  <si>
    <t>SITUAZIONE SENZA OTTIMIZZAZIONE</t>
  </si>
  <si>
    <t>SITUAZIONE DOPO OTTIMIZZAZIONE</t>
  </si>
  <si>
    <t>SITUATION SANS OPTIMISATION</t>
  </si>
  <si>
    <t>SITUATION APRÈS OPTIMISATION</t>
  </si>
  <si>
    <t>SITUAÇÃO SEM OTIMIZAÇÃO</t>
  </si>
  <si>
    <t>SITUAÇÃO APÓS OTIMIZAÇÃO</t>
  </si>
  <si>
    <t>СИТУАЦИЯ БЕЗ ОПТИМИЗАЦИИ</t>
  </si>
  <si>
    <t>СИТУАЦИЯ ПОСЛЕ ОПТИМИЗАЦИИ</t>
  </si>
  <si>
    <t>SITUATION WITHOUT OPTIMIZATION</t>
  </si>
  <si>
    <t>SITUATION AFTER OPTIMIZATION</t>
  </si>
  <si>
    <t>Berater/in</t>
  </si>
  <si>
    <t>Consultant/e</t>
  </si>
  <si>
    <t>Consultor/a</t>
  </si>
  <si>
    <t>Консультант</t>
  </si>
  <si>
    <t>Consultant</t>
  </si>
  <si>
    <t>Rend. suppl. AVS figli</t>
  </si>
  <si>
    <t>Rendita Vedovanza AVS</t>
  </si>
  <si>
    <t>Con ottimizzazione</t>
  </si>
  <si>
    <t>Senza ottimizzazione</t>
  </si>
  <si>
    <t>Berechnung für</t>
  </si>
  <si>
    <t>Calcul pour</t>
  </si>
  <si>
    <t>Cálculo para</t>
  </si>
  <si>
    <t>расчет для</t>
  </si>
  <si>
    <t>Calculation for</t>
  </si>
  <si>
    <t>Calcolo per</t>
  </si>
  <si>
    <t>Coperture coniuge decesso di</t>
  </si>
  <si>
    <t>Deckung Ehepartner im Falle Todes von</t>
  </si>
  <si>
    <t>Berech. durchgeführt von:</t>
  </si>
  <si>
    <t>Zusätzl. AHV-Rente Kinder</t>
  </si>
  <si>
    <t>Rente suppl. AVS enfants</t>
  </si>
  <si>
    <t>Pens. supl. AVS filhos</t>
  </si>
  <si>
    <t>Дополн. пенсия AVS инв. дети</t>
  </si>
  <si>
    <t>Supp. AVS pens. children</t>
  </si>
  <si>
    <t>con ottimizzazione</t>
  </si>
  <si>
    <t>Rendita AVS/AI ante splitting (mensile a scala 44)</t>
  </si>
  <si>
    <t>Rendita AVS/AI post splitting (ridotta per coniugati. 150% max e senza rendita figli) (mensile a scala 44)</t>
  </si>
  <si>
    <r>
      <t xml:space="preserve">Fabbisogno minimo vitale </t>
    </r>
    <r>
      <rPr>
        <u/>
        <sz val="10"/>
        <color theme="4" tint="-0.499984740745262"/>
        <rFont val="Arial"/>
        <family val="2"/>
      </rPr>
      <t xml:space="preserve">mensile </t>
    </r>
    <r>
      <rPr>
        <sz val="10"/>
        <color theme="4" tint="-0.499984740745262"/>
        <rFont val="Arial"/>
        <family val="2"/>
      </rPr>
      <t xml:space="preserve">in caso di decesso del coniuge </t>
    </r>
  </si>
  <si>
    <r>
      <t xml:space="preserve">Fabbisogno </t>
    </r>
    <r>
      <rPr>
        <u/>
        <sz val="10"/>
        <color theme="4" tint="-0.499984740745262"/>
        <rFont val="Arial"/>
        <family val="2"/>
      </rPr>
      <t xml:space="preserve">mensile </t>
    </r>
    <r>
      <rPr>
        <sz val="10"/>
        <color theme="4" tint="-0.499984740745262"/>
        <rFont val="Arial"/>
        <family val="2"/>
      </rPr>
      <t xml:space="preserve"> in caso di invalidità o pensione:              </t>
    </r>
  </si>
  <si>
    <t>Capitali necessari per liquidazione impegni in caso di decesso</t>
  </si>
  <si>
    <t xml:space="preserve">Risparmio attuale mensile                       </t>
  </si>
  <si>
    <t xml:space="preserve">Risparmio ideale mensile (per raggiung. obiettivi)                                                                        </t>
  </si>
  <si>
    <t xml:space="preserve">Capitale a disposizione                                   </t>
  </si>
  <si>
    <t xml:space="preserve">in % della disponibilità                                                      </t>
  </si>
  <si>
    <t xml:space="preserve">Note per un offerta di un piano di risparmio / 3. pilastro: </t>
  </si>
  <si>
    <t xml:space="preserve">Dispo per offerta di risparmio con OPP3:(al mese) - </t>
  </si>
  <si>
    <t>Breve termine - 0-3 anni - 0.0%-0.2%</t>
  </si>
  <si>
    <t xml:space="preserve">Quanto paga di cassa malati al mese?          </t>
  </si>
  <si>
    <t xml:space="preserve">Economia Domestica e RC               </t>
  </si>
  <si>
    <t xml:space="preserve">Assicurazioni auto </t>
  </si>
  <si>
    <t xml:space="preserve">Altre assicurazioni:                         </t>
  </si>
  <si>
    <t xml:space="preserve">Livello di studi </t>
  </si>
  <si>
    <t xml:space="preserve">VALUTAZIONE CASSA MALATI </t>
  </si>
  <si>
    <t xml:space="preserve">Proposta CM Figlio 2                        </t>
  </si>
  <si>
    <t xml:space="preserve">Proposta CM Figlio 3                        </t>
  </si>
  <si>
    <t xml:space="preserve">Altri figli:                                        </t>
  </si>
  <si>
    <t xml:space="preserve">Se Cassa malati calcolata solo sommariamente sul totale, CM.TOT. Se calcolata su ogni signolo famibliare tutta la serie CM 1 ecc… compreso CM TOT se più di un membro in famiglia  </t>
  </si>
  <si>
    <t>Importo mensile di rate per crediti o leasing</t>
  </si>
  <si>
    <t>Importo attuale dei debiti da crediti privati:</t>
  </si>
  <si>
    <t>E' quindi piu' che mai importante pensare in tempo a garantirsi privatamente un capitale che possa permetterci di far fronte alla terza parte della nostra vita!</t>
  </si>
  <si>
    <r>
      <rPr>
        <u/>
        <sz val="10"/>
        <color theme="4" tint="-0.499984740745262"/>
        <rFont val="Arial"/>
        <family val="2"/>
      </rPr>
      <t>Anno</t>
    </r>
    <r>
      <rPr>
        <sz val="10"/>
        <color theme="4" tint="-0.499984740745262"/>
        <rFont val="Arial"/>
        <family val="2"/>
      </rPr>
      <t xml:space="preserve"> del primo contributo In Svizzera</t>
    </r>
  </si>
  <si>
    <t>Premi Assicurazioni sanitarie</t>
  </si>
  <si>
    <t>Krankenversicherungsprämien</t>
  </si>
  <si>
    <t>Primes d'assurances maladie</t>
  </si>
  <si>
    <t>Prémios de seguros de saúde</t>
  </si>
  <si>
    <t>Страховые взносы на медицинское страхование</t>
  </si>
  <si>
    <t>Health insurance premiums</t>
  </si>
  <si>
    <t>Famiglia intera</t>
  </si>
  <si>
    <t>Ganze Familie</t>
  </si>
  <si>
    <t>Famille entière</t>
  </si>
  <si>
    <t>Família inteira</t>
  </si>
  <si>
    <t>Вся семья</t>
  </si>
  <si>
    <t>Entire family</t>
  </si>
  <si>
    <t>LÖSUNGSVORSCHLAG</t>
  </si>
  <si>
    <t>SOLUTION PROPOSÉE</t>
  </si>
  <si>
    <t>SOLUÇÃO PROPOSTA</t>
  </si>
  <si>
    <t>ПРЕДЛОЖЕННОЕ РЕШЕНИЕ</t>
  </si>
  <si>
    <t>PROPOSED SOLUTION</t>
  </si>
  <si>
    <t>Composizione di un piano previdenziale ideale, con vantaggi fiscali (terzo pilastro):</t>
  </si>
  <si>
    <t>BEDARFSANALYSE </t>
  </si>
  <si>
    <t>Version</t>
  </si>
  <si>
    <t>Pflichtdaten für jedes Thema</t>
  </si>
  <si>
    <t>Pflichtdaten für einzelne Themen</t>
  </si>
  <si>
    <t>Optionale allgemeine Daten für eine höhere Genauigkeit (alternativ werden sie vom System berechnet)</t>
  </si>
  <si>
    <t>Optionale Daten für eine höhere Genauigkeit bei jedem einzelnen Thema</t>
  </si>
  <si>
    <t> Nachname und Vorname</t>
  </si>
  <si>
    <t> Zivilstand (1=Single / 2 = Verheiratet  / 3 = Partner)</t>
  </si>
  <si>
    <t> Hochzeitsdatum</t>
  </si>
  <si>
    <t>Geburtsdatum</t>
  </si>
  <si>
    <t>Anzahl der minderjährigen oder studierenden </t>
  </si>
  <si>
    <t>Für die Kinder ist das Beste gerade gut genug</t>
  </si>
  <si>
    <t>Andere Kinder</t>
  </si>
  <si>
    <t>Staatsangehörigkeit</t>
  </si>
  <si>
    <t>Frequenz x1 /  X12 / X13?</t>
  </si>
  <si>
    <t>Mindestbedarf pro Monat im Todesfall des Ehepartners</t>
  </si>
  <si>
    <t>Arbeitspensum in %</t>
  </si>
  <si>
    <t>Eventuell, bestehende bezüge aus der BVG (Betrag)</t>
  </si>
  <si>
    <t>Taggeld bei Unfall % des Einkommen</t>
  </si>
  <si>
    <t>Taggeld bei Krankheit % des Einkommen</t>
  </si>
  <si>
    <t>Dritte Säulen und aktuelle Investitionen: Gesellschaften, Prämien, Investitionen</t>
  </si>
  <si>
    <t>Ideales monatliches Sparen (zur Erreichung der Ziele)</t>
  </si>
  <si>
    <t>Anmerkungen zu einer Offerte 3. Säule:</t>
  </si>
  <si>
    <t>Langfr.  &gt;9  J. - 18% - 21%, - mit Steuervorteile</t>
  </si>
  <si>
    <t>TRAGBARKEIT UND EIGENHEIM</t>
  </si>
  <si>
    <t>CASH + 3. Säule + Investitionen</t>
  </si>
  <si>
    <t>ANGEBOT ZUR IMMOBILIENFINANZIERUNG ODER -REFINANZIERUNG</t>
  </si>
  <si>
    <t>Aktueller Immobilienwert oder Kaufpreis:</t>
  </si>
  <si>
    <t>Rennovierungskosten falls nötig</t>
  </si>
  <si>
    <t>Aktueller Hypothekenschuldenbetrag</t>
  </si>
  <si>
    <t>Kreditinstitut/Bank</t>
  </si>
  <si>
    <t>Vertragslaufzeit / Fester Zinssatz </t>
  </si>
  <si>
    <t>GESUNDHEITSVORSORGE</t>
  </si>
  <si>
    <t>Wie viel zahlen Sie monatlich für Ihre KV?</t>
  </si>
  <si>
    <t> KVG-Versicherungsgesellschaft</t>
  </si>
  <si>
    <t>Aktuelle Franchise KVG?</t>
  </si>
  <si>
    <t>Gewünschte Franchise KVG?</t>
  </si>
  <si>
    <t> Kategorie: 1=erw. / 2=0-18. / 3=19-26</t>
  </si>
  <si>
    <t>BESTEHENDE DECKUNGEN VS GEWÜNSCHTE DECKUNGEN? (0 / 1)</t>
  </si>
  <si>
    <t>Zahnzusatz</t>
  </si>
  <si>
    <t>Gebäudeversicherung</t>
  </si>
  <si>
    <t>Autoversicherung</t>
  </si>
  <si>
    <t>Sind Sie interessiert an einer Kosteneinschätzung für das Studium und die entsprechenden Finanzierungspläne?</t>
  </si>
  <si>
    <t>Möchten Sie die Zukunft Ihrer Kinder auch bei Invalidität oder im Todesfall absichern?</t>
  </si>
  <si>
    <t>Sparpläne für Kinder, Unternehmen und monatliches Sparen.</t>
  </si>
  <si>
    <t>Wie viel könnte/möchte der Kunde insgesamt pro Monat in die Zukunft seiner Kinder investieren?</t>
  </si>
  <si>
    <t>Anspruch auf IV-Rente (5 Jahres Vertrag)</t>
  </si>
  <si>
    <t>Monatlicher BVG-Beitrag bei Lohnabrechnung</t>
  </si>
  <si>
    <t>Die folgenden Daten werden automatisch vom System auf der Grundlage der gesetzlichen Mindestwerte berechnet. Für eine genauere Berechnung können diese manuell berechnet werden, indem der Wert hier eingefügt wird.</t>
  </si>
  <si>
    <t>Vorschlag Kunde</t>
  </si>
  <si>
    <t>Vorschlag Partner</t>
  </si>
  <si>
    <t>Vorschlag Kind 1</t>
  </si>
  <si>
    <t>Druck für den Kunden (oder Vorbereitung als PDF, falls die folgenden Dokumente online verfügbar sind):</t>
  </si>
  <si>
    <t>Wenn die Krankenkasse nur summarisch auf den Gesamtbetrag berechnet wird, CM.TOT. Falls sie für jedes einzelne Familienmitglied berechnet wird, die gesamte Reihe CM 1 usw., einschließlich CM TOT, falls mehr als ein Familienmitglied vorhanden ist.</t>
  </si>
  <si>
    <t>Erstellung des Krankenkassen-Angebots im System, das gegebenenfalls in der Beratung online abgeschlossen werden kann.</t>
  </si>
  <si>
    <t>Ausdruck der steuerlichen Berechnungen auf kantonalen und eidgenössischen Formularen (siehe vorherigen Link).</t>
  </si>
  <si>
    <t>Ausdruck des aktuellen Analyseformulars zur Wiederholung der grundlegenden Voraussetzungen in der Beratung.</t>
  </si>
  <si>
    <t>Druck der Bedarfs-, Renten- und Todesfall-Szenarien für die Vorsorgeauswertung.</t>
  </si>
  <si>
    <t>Druck der Tragbarkeitsrechnung, wenn der Kunde an Wohneigentum interessiert ist.</t>
  </si>
  <si>
    <t>Erstellung eines Vorsorgevorschlags im System, der gegebenenfalls online eingereicht werden kann (oder ausdrucken, falls dies nicht möglich ist).</t>
  </si>
  <si>
    <t>Abkürzungen für die Analyse</t>
  </si>
  <si>
    <t>Schweizer, keine Bewilligung erforderlich</t>
  </si>
  <si>
    <t>7 - Wäre angenehm</t>
  </si>
  <si>
    <t>6 - Könnte mir gefallen</t>
  </si>
  <si>
    <t>4 - Als letzte Wahl</t>
  </si>
  <si>
    <t>3 - Neutral</t>
  </si>
  <si>
    <t>2 - Weniger wichtig</t>
  </si>
  <si>
    <t>1 - Kein Interesse</t>
  </si>
  <si>
    <t>0 - Nicht relevant</t>
  </si>
  <si>
    <t>Ausserhalb des Kantons</t>
  </si>
  <si>
    <t>CHF 200.-- / pro Jahr</t>
  </si>
  <si>
    <t>Diagramm Kinder</t>
  </si>
  <si>
    <t>Ort, an dem sie Studieren könnten:</t>
  </si>
  <si>
    <t>Was würden Sie tun, wenn Ihnen ab morgen etwas fehlen würde?</t>
  </si>
  <si>
    <t>Rentensituation für:</t>
  </si>
  <si>
    <t>Krankentaggeld  720 Tage</t>
  </si>
  <si>
    <t>Zusammensetzung eines idealen Vorsorgeplans mit Steuervorteilen gemäss der Verordnung BVV 3:</t>
  </si>
  <si>
    <t>VERSICHERTE KAPITALBETRÄGE</t>
  </si>
  <si>
    <t>INVESTIERTES KAPITAL</t>
  </si>
  <si>
    <t>Gesamtdeckung und Kapital für den Kunden:</t>
  </si>
  <si>
    <t>Gesamtes Investiertes Kapital</t>
  </si>
  <si>
    <t>Tragbarkeit von Wohneigentum FÜR:</t>
  </si>
  <si>
    <t>TRAGBARKEIT IM ZEITVERLAUF MIT MONATLICHEN SPARBEITRÄGEN:</t>
  </si>
  <si>
    <t>KAUFGRENZE</t>
  </si>
  <si>
    <t>TRAGBARKEIT für MIETKAUF:</t>
  </si>
  <si>
    <t>Teil der Hypothek, das amortisiert werden muss:</t>
  </si>
  <si>
    <t>Übermässige Hypothekenanforderung (max. 80% der Investition... Eigenkapital erhöhen!)</t>
  </si>
  <si>
    <t>Anzahl der minderjährigen Kinder oder der Kinder, die sich in Ausbildung befinden:</t>
  </si>
  <si>
    <t>Tagesentschädigung UVG (%)</t>
  </si>
  <si>
    <t>Invalidität UVG (%)</t>
  </si>
  <si>
    <t>Rente AHV/IV vor Splitting (monatlich nach Skala 44)</t>
  </si>
  <si>
    <t>Rente AHV/IV nach Splitting (reduziert für Verheiratete, maximal 150%, ohne Kinderrente) (monatlich nach Skala 44)</t>
  </si>
  <si>
    <t>Jährliche Invalidenrente BVG</t>
  </si>
  <si>
    <t>Jährliche Altersrente BVG</t>
  </si>
  <si>
    <t>Aktuelles BVG-Kapital für Wohneigentum</t>
  </si>
  <si>
    <t>Jährlicher Gesamtbeitrag BVG</t>
  </si>
  <si>
    <t>Hat der Kunde Anspruch auf eine Hinterlassenenrente AHV, wenn der Partner verstirbt?</t>
  </si>
  <si>
    <t>Hat der Kunde Anspruch auf eine Hinterlassenenrente BVG, wenn der Partner verstirbt?</t>
  </si>
  <si>
    <t>Hat der Kunde Anspruch auf eine Hinterlassenenrente UVG, wenn der Partner verstirbt?</t>
  </si>
  <si>
    <t>Personalisierung der Berechnung der Tragfähigkeit: Vorgegebene Daten für die mögliche Berechnung der Nachhaltigkeit</t>
  </si>
  <si>
    <t>Entwicklung der Schulden im Zeitverlauf ohne vorgeschlagenes Sparen</t>
  </si>
  <si>
    <t>Jährliche Belastung durch Leasing/Privatschulden</t>
  </si>
  <si>
    <t>Entwicklung der Schulden im Zeitverlauf mit vorgeschlagenem Sparen</t>
  </si>
  <si>
    <t>Entwicklung des Einkommens in der aktuellen Situation über die Zeit</t>
  </si>
  <si>
    <t>Entwicklung des Einkommens in der vorgeschlagenen Situation über die Zeit</t>
  </si>
  <si>
    <t>Entwicklung des Sparens im Zeitverlauf nur aktuelles Sparen</t>
  </si>
  <si>
    <t>Sparentwicklung</t>
  </si>
  <si>
    <t>Entwicklung des Sparens im Zeitverlauf vorgeschlagen</t>
  </si>
  <si>
    <t>Vorgegebene Daten für die Vorsorgeberechnung</t>
  </si>
  <si>
    <t>Vorgegebene Daten für die Vorsorgeberechnung des Partners</t>
  </si>
  <si>
    <t>Soglia di entrata</t>
  </si>
  <si>
    <t>Salario coordinato</t>
  </si>
  <si>
    <t>salario massimo coordinato</t>
  </si>
  <si>
    <t>Salario minimo coordinato</t>
  </si>
  <si>
    <t>I.J. Accident</t>
  </si>
  <si>
    <t>Diaria Acidente</t>
  </si>
  <si>
    <t>ЕП Несчастный случай</t>
  </si>
  <si>
    <t>TD Accident</t>
  </si>
  <si>
    <t>Unfall-Taggeld</t>
  </si>
  <si>
    <t>Unfall Inv.</t>
  </si>
  <si>
    <t>VORGESCHLAGENE LÖSUNG</t>
  </si>
  <si>
    <t>Privata/semiprivata</t>
  </si>
  <si>
    <t>Privat/Halbprivat</t>
  </si>
  <si>
    <t>Privée/Semi-privée</t>
  </si>
  <si>
    <t>Privada/Semi-privada</t>
  </si>
  <si>
    <t>Private/Semi-private</t>
  </si>
  <si>
    <t>Med.+Camera</t>
  </si>
  <si>
    <t>Costruire e aumentare il patrimonio</t>
  </si>
  <si>
    <t>Profilo Previdenziale</t>
  </si>
  <si>
    <t>Vorsorgeprofil</t>
  </si>
  <si>
    <t>Profil Prévoyance</t>
  </si>
  <si>
    <t>Perfil Previdenciário</t>
  </si>
  <si>
    <t>Профиль пенсионного обеспечения</t>
  </si>
  <si>
    <t>Pension Profile</t>
  </si>
  <si>
    <t>IG Inf. 720. gg</t>
  </si>
  <si>
    <t>IG Mal. 720.gg.</t>
  </si>
  <si>
    <t>Rente m. Splitting</t>
  </si>
  <si>
    <t>Rente o. Splitting</t>
  </si>
  <si>
    <t>Rente av. Splitting</t>
  </si>
  <si>
    <t>Rente s. Splitting</t>
  </si>
  <si>
    <t>Invalidité Acc. 720 j.</t>
  </si>
  <si>
    <t>Invalidité Mal. 720 j.</t>
  </si>
  <si>
    <t>Invalidité Mal. av. enfants</t>
  </si>
  <si>
    <t>Invalidité Mal. s. enfants</t>
  </si>
  <si>
    <t>Invalidité Acc.</t>
  </si>
  <si>
    <t>Veuvage Mal. av. enfants</t>
  </si>
  <si>
    <t>Veuvage Mal. s. enfants</t>
  </si>
  <si>
    <t>Veuvage Acc.</t>
  </si>
  <si>
    <t>Pens. c. Splitting</t>
  </si>
  <si>
    <t>Pens. s. Splitting</t>
  </si>
  <si>
    <t>Inv. Ac. 720 d.</t>
  </si>
  <si>
    <t>Inv. Doen. 720 d.</t>
  </si>
  <si>
    <t>Inv. Doen. c. filhos</t>
  </si>
  <si>
    <t>Inv. Doen. s. filhos</t>
  </si>
  <si>
    <t>Inv. Ac.</t>
  </si>
  <si>
    <t>Viuvez Doen. c. filhos</t>
  </si>
  <si>
    <t>Viuvez Doen. s. filhos</t>
  </si>
  <si>
    <t>Viuvez Ac.</t>
  </si>
  <si>
    <t>Пенсия с Split</t>
  </si>
  <si>
    <t>Пенсия б. Split</t>
  </si>
  <si>
    <t>Инв. несч. сл. 720 д.</t>
  </si>
  <si>
    <t>Инв. бол. 720 д.</t>
  </si>
  <si>
    <t>Инв. бол. с детьми</t>
  </si>
  <si>
    <t>Инв. бол. б. детей</t>
  </si>
  <si>
    <t>Инв. несч. сл.</t>
  </si>
  <si>
    <t>Вдовство бол. с детьми</t>
  </si>
  <si>
    <t>Вдовство бол. б. детей</t>
  </si>
  <si>
    <t>Вдовство несч. сл.</t>
  </si>
  <si>
    <t>Pension w. Splitting</t>
  </si>
  <si>
    <t>Pension w/o Splitting</t>
  </si>
  <si>
    <t>Dis. Acc. 720 d.</t>
  </si>
  <si>
    <t>Dis. Ill. 720 d.</t>
  </si>
  <si>
    <t>Dis. Ill. w. children</t>
  </si>
  <si>
    <t>Dis. Ill. w/o children</t>
  </si>
  <si>
    <t>Dis. Acc.</t>
  </si>
  <si>
    <t>Widow. Ill. w. children</t>
  </si>
  <si>
    <t>Widow. Ill. w/o children</t>
  </si>
  <si>
    <t>Widow. Acc.</t>
  </si>
  <si>
    <t>COPERTURE</t>
  </si>
  <si>
    <t>LACUNE</t>
  </si>
  <si>
    <t>DECKUNGEN</t>
  </si>
  <si>
    <t>LÜCKEN</t>
  </si>
  <si>
    <t>COUVERTURES</t>
  </si>
  <si>
    <t>LACUNES</t>
  </si>
  <si>
    <t>COBERTURAS</t>
  </si>
  <si>
    <t>LACUNAS</t>
  </si>
  <si>
    <t>ПОКРЫТИЯ</t>
  </si>
  <si>
    <t>ПРОБЕЛЫ</t>
  </si>
  <si>
    <t>COVERAGES</t>
  </si>
  <si>
    <t>GAPS</t>
  </si>
  <si>
    <t>Witw. Unfall o. Kinder</t>
  </si>
  <si>
    <t>Veuv. acc. s. enfants</t>
  </si>
  <si>
    <t>Viuv. ac. s. filhos</t>
  </si>
  <si>
    <t>Вдов. несч. сл. б. дет.</t>
  </si>
  <si>
    <t>Wid. acc. w/o children</t>
  </si>
  <si>
    <t>Vedov. Inf. senza figli</t>
  </si>
  <si>
    <t>Pens. con split.</t>
  </si>
  <si>
    <t>Pens. senza split.</t>
  </si>
  <si>
    <t>Inv. Mal. con figli</t>
  </si>
  <si>
    <t>Inv. Mal. senza figli</t>
  </si>
  <si>
    <t>Inv. per Inf.</t>
  </si>
  <si>
    <t>Vedov. Mal. con figli</t>
  </si>
  <si>
    <t>Vedov. Mal. senza figli</t>
  </si>
  <si>
    <t>Vedov. Inf. con figli</t>
  </si>
  <si>
    <t>Inv. Unfall 720 T.</t>
  </si>
  <si>
    <t>Inv. Krankheit 720 T.</t>
  </si>
  <si>
    <t>Inv. Kr. m. Kindern</t>
  </si>
  <si>
    <t>Inv. Kr. o. Kindern</t>
  </si>
  <si>
    <t>Witw. Kr. m. Kindern</t>
  </si>
  <si>
    <t>Witw. Kr. o. Kindern</t>
  </si>
  <si>
    <t>Witw. Unfall</t>
  </si>
  <si>
    <t>Terzi pilastri e investimenti attuali: società, premi, investimenti</t>
  </si>
  <si>
    <t>Dritte Säulen und Investitionen: AKTUELL, Gesellschaften, Prämien, Investitionen</t>
  </si>
  <si>
    <t>Troisième pilier et investissements : ACTUALITÉS, sociétés, primes, investissements</t>
  </si>
  <si>
    <t>Terceiro pilar e investimentos: ATUALIDADES, empresas, prémios, investimentos</t>
  </si>
  <si>
    <t>Третий столп и инвестиции: АКТУАЛЬНО, компании, взносы, инвестиции</t>
  </si>
  <si>
    <t>Third pillar and investments: CURRENT, companies, premiums, investments</t>
  </si>
  <si>
    <t>Fumeur?</t>
  </si>
  <si>
    <t xml:space="preserve">Fumatore?                                       </t>
  </si>
  <si>
    <t>Fumador?</t>
  </si>
  <si>
    <t>Курильщик?</t>
  </si>
  <si>
    <t>Smoker?</t>
  </si>
  <si>
    <t>FINANZIAMENTO</t>
  </si>
  <si>
    <t>Importo annuo ammortamento</t>
  </si>
  <si>
    <t>Valore dell'immobile</t>
  </si>
  <si>
    <t>Sostenibilità attuale</t>
  </si>
  <si>
    <t>Sostenibilità alla pensione</t>
  </si>
  <si>
    <t>Ipoteca attuale</t>
  </si>
  <si>
    <t>Redditi attuali</t>
  </si>
  <si>
    <t>Reddito di</t>
  </si>
  <si>
    <t>Rendita vedovanza per</t>
  </si>
  <si>
    <t>Capitali necessari per assicurare sostenibilità di</t>
  </si>
  <si>
    <t>Reddito utilizzabile</t>
  </si>
  <si>
    <t>affitti</t>
  </si>
  <si>
    <t>reddito totale per sost.</t>
  </si>
  <si>
    <t>deduci costi manutenzione</t>
  </si>
  <si>
    <t>capitale se senza ammortamento</t>
  </si>
  <si>
    <t>Capitale se con ammortamento attuale</t>
  </si>
  <si>
    <t>differenza con amm.</t>
  </si>
  <si>
    <t xml:space="preserve">differenza senza amm, </t>
  </si>
  <si>
    <t>SIOSTENIBILITÀ IPOTECA IN CASO DI DECESSO</t>
  </si>
  <si>
    <t>VARIABILI SITUAZIONE REDDITUALE</t>
  </si>
  <si>
    <t xml:space="preserve">SOSTENIBILITÀ IN CASO DI DECESSO DI </t>
  </si>
  <si>
    <t>Rendita di pensione P.S.</t>
  </si>
  <si>
    <t>Rendita di pensione A.S.</t>
  </si>
  <si>
    <t>Calcolo in caso di decesso:</t>
  </si>
  <si>
    <t>Reddito di Test + Testina</t>
  </si>
  <si>
    <t>Pensione</t>
  </si>
  <si>
    <t>Da ammortizzare entro la pensione (min)</t>
  </si>
  <si>
    <t>Da ammortizzare entro la pensione (max)</t>
  </si>
  <si>
    <t xml:space="preserve">Cap. da Ass. in caso di decesso di: </t>
  </si>
  <si>
    <t>Quando è stata l'ultima volta che ha verificato la sua situazione assicurativa, anche in relazione alle assicurazioni sociali?</t>
  </si>
  <si>
    <t>Qual è stato il motivo di questa verifica?</t>
  </si>
  <si>
    <t>Qual è stato il risultato?</t>
  </si>
  <si>
    <t>Cosa è importante per lei nell'attuale verifica della sua situazione assicurativa?</t>
  </si>
  <si>
    <t>Qual è stata la ragione per cui ha deciso di esaminare la situazione?</t>
  </si>
  <si>
    <t>RISK MANAGEMENT</t>
  </si>
  <si>
    <t>Quand avez-vous vérifié pour la dernière fois votre situation d'assurance, y compris en lien avec les assurances sociales ?</t>
  </si>
  <si>
    <t>Quelle était la raison de cette vérification ?</t>
  </si>
  <si>
    <t>Quel a été le résultat ?</t>
  </si>
  <si>
    <t>Quelle était la raison pour laquelle vous avez décidé d'examiner la situation ?</t>
  </si>
  <si>
    <t>Qu'est-ce qui est important pour vous dans l'évaluation actuelle de votre situation d'assurance ?</t>
  </si>
  <si>
    <t>Wann haben Sie das letzte Mal Ihre Versicherungssituation überprüft, auch im Zusammenspiel mit den Sozialversicherungen?</t>
  </si>
  <si>
    <t>Was war der Grund für diese Überprüfung?</t>
  </si>
  <si>
    <t>Was war das Resultat?</t>
  </si>
  <si>
    <t>Was war der Grund für diese Überprüfung der Situation?</t>
  </si>
  <si>
    <t>Was ist Ihnen wichtig bei der heutigen Überprüfung Ihrer Versicherungssituation?</t>
  </si>
  <si>
    <t>Quando foi a última vez que revisou sua situação de seguro, incluindo em relação aos seguros sociais?</t>
  </si>
  <si>
    <t>Qual foi o motivo dessa revisão?</t>
  </si>
  <si>
    <t>Qual foi o resultado?</t>
  </si>
  <si>
    <t>Qual foi a razão pela qual você decidiu examinar a situação?</t>
  </si>
  <si>
    <t>O que é importante para você na revisão atual da sua situação de seguro?</t>
  </si>
  <si>
    <t>1. Когда вы в последний раз проверяли свою страховую ситуацию, включая социальные страховки?</t>
  </si>
  <si>
    <t>2. Какова была причина этой проверки?</t>
  </si>
  <si>
    <t>3. Каков был результат?</t>
  </si>
  <si>
    <t>4. Почему вы решили провести анализ ситуации?</t>
  </si>
  <si>
    <t>5. Что важно для вас в текущей проверке вашей страховой ситуации?</t>
  </si>
  <si>
    <t>When was the last time you reviewed your insurance situation, including in relation to social insurances?</t>
  </si>
  <si>
    <t>What was the reason for this review?</t>
  </si>
  <si>
    <t>What was the outcome?</t>
  </si>
  <si>
    <t>What was the reason you decided to examine the situation?</t>
  </si>
  <si>
    <t>What is important to you in the current review of your insurance situation?</t>
  </si>
  <si>
    <t>Come si è tutelato contro i rischi di vecchiaia, morte e invalidità?</t>
  </si>
  <si>
    <t>Qual è stato il motivo di queste considerazioni?</t>
  </si>
  <si>
    <t>Come valuta la sua attuale situazione assicurativa in relazione alla sua protezione?</t>
  </si>
  <si>
    <t>PREVIDENZA</t>
  </si>
  <si>
    <t>ABITAZIONE</t>
  </si>
  <si>
    <t>Qual è la sua visione della futura situazione abitativa?</t>
  </si>
  <si>
    <t>Affittuario: Cosa ha fatto finora per raggiungere questo obiettivo?</t>
  </si>
  <si>
    <t>Qual è la fascia di prezzo del suo immobile (con il 20% di mezzi propri disponibili)?</t>
  </si>
  <si>
    <t>Come pensa di ottenere i mezzi propri necessari?</t>
  </si>
  <si>
    <t>Proprietario: Come ha organizzato il finanziamento in termini di ipoteca e ammortamento?</t>
  </si>
  <si>
    <t>Qual è stata la ragione di questa soluzione?</t>
  </si>
  <si>
    <t>Lo rifarebbe oggi nello stesso modo?</t>
  </si>
  <si>
    <t>TASSE</t>
  </si>
  <si>
    <t>Come risparmia o ottimizza le tasse fino ad oggi?</t>
  </si>
  <si>
    <t>Dove vede ulteriori possibilità per risparmiare o ottimizzare le tasse?</t>
  </si>
  <si>
    <t>Chi si occupa della sua dichiarazione fiscale?</t>
  </si>
  <si>
    <t>INVESTIMENTI</t>
  </si>
  <si>
    <t>Quanta liquidità le serve per sentirsi a suo agio?</t>
  </si>
  <si>
    <t>Investirebbe oggi il denaro nello stesso modo?</t>
  </si>
  <si>
    <t>Ha qualcuno che la supporta nelle decisioni finanziarie?</t>
  </si>
  <si>
    <t>Quanto influisce questa persona sulle decisioni che prende con me?</t>
  </si>
  <si>
    <t>Come risparmia e investe il suo denaro?</t>
  </si>
  <si>
    <t>Quali considerazioni e obiettivi hanno guidato questa strategia?</t>
  </si>
  <si>
    <t>Come si definirebbe come investitore? (conservativo, bilanciato, dinamico...)</t>
  </si>
  <si>
    <t>ASSICURAZIONE SANITARIA: LA NOSTRA PROPOSTA PER IL CLIENTE</t>
  </si>
  <si>
    <t>Wie haben Sie sich gegen die Risiken Alter, Tod und Invalidität abgesichert?</t>
  </si>
  <si>
    <t>Was war der Grund für diese Überlegungen?</t>
  </si>
  <si>
    <t>Wie beurteilen Sie Ihre heutige Versicherungssituation im Zusammenhang mit Ihrer Absicherung?</t>
  </si>
  <si>
    <t>Wie sparen und investieren Sie Ihr Geld?</t>
  </si>
  <si>
    <t>Welche Überlegungen und Ziele haben diese Strategie geleitet?</t>
  </si>
  <si>
    <t>Würden Sie Ihr Geld heute wieder auf dieselbe Weise anlegen?</t>
  </si>
  <si>
    <t>Als welchen Anlegertyp würden Sie sich bezeichnen? (konservativ, ausgewogen, dynamisch...)</t>
  </si>
  <si>
    <t>Wie viel Liquidität benötigen Sie, um sich wohlzufühlen?</t>
  </si>
  <si>
    <t>Wie sehen Sie Ihre zukünftige Wohnsituation?</t>
  </si>
  <si>
    <t>Mieter: Was haben Sie schon alles unternommen, um dieses Ziel zu erreichen?</t>
  </si>
  <si>
    <t>In welcher Preisvorstellung bewegt sich Ihr Objekt (20% Eigenmittel vorhanden)?</t>
  </si>
  <si>
    <t>Wie gedenken Sie, die nötigen Eigenmittel zu beschaffen?</t>
  </si>
  <si>
    <t>Eigentümer: Wie haben Sie Ihre Finanzierung geregelt in Bezug auf Hypothek und Amortisation?</t>
  </si>
  <si>
    <t>Was war der Grund gewesen für diese Lösung?</t>
  </si>
  <si>
    <t>Würden Sie es heute wieder so lösen?</t>
  </si>
  <si>
    <t>Wie sparen Sie bis heute Steuern bzw. wie optimieren Sie Ihre Steuern?</t>
  </si>
  <si>
    <t>Wo sehen Sie noch weitere Möglichkeiten, um Steuern zu sparen oder zu optimieren?</t>
  </si>
  <si>
    <t>Wer macht Ihre Steuererklärung?</t>
  </si>
  <si>
    <t>Haben Sie jemanden, der Sie bei finanziellen Entscheidungen unterstützt?</t>
  </si>
  <si>
    <t>Wie stark ist sein Einfluss auf Ihre Entscheidung, die Sie mit mir treffen?</t>
  </si>
  <si>
    <t>Comment vous êtes-vous protégé contre les risques de vieillesse, décès et invalidité ?</t>
  </si>
  <si>
    <t>Quelle était la raison de ces réflexions ?</t>
  </si>
  <si>
    <t>Comment évaluez-vous votre situation actuelle d'assurance en lien avec votre protection ?</t>
  </si>
  <si>
    <t>Comment épargnez-vous et investissez-vous votre argent ?</t>
  </si>
  <si>
    <t>Quelles réflexions et objectifs ont guidé cette stratégie ?</t>
  </si>
  <si>
    <t>Réinvestiriez-vous votre argent de la même manière aujourd'hui ?</t>
  </si>
  <si>
    <t>Comment vous définiriez-vous en tant qu'investisseur ? (conservateur, équilibré, dynamique...)</t>
  </si>
  <si>
    <t>De quelle liquidité avez-vous besoin pour vous sentir à l'aise ?</t>
  </si>
  <si>
    <t>Quelle est votre vision de votre future situation de logement ?</t>
  </si>
  <si>
    <t>Locataire : Qu'avez-vous déjà entrepris pour atteindre cet objectif ?</t>
  </si>
  <si>
    <t>Dans quelle gamme de prix se situe votre bien (20% d'apport personnel disponible) ?</t>
  </si>
  <si>
    <t>Comment prévoyez-vous d'obtenir les fonds nécessaires ?</t>
  </si>
  <si>
    <t>Propriétaire : Comment avez-vous organisé le financement en termes d'hypothèque et d'amortissement ?</t>
  </si>
  <si>
    <t>Quelle était la raison de cette solution ?</t>
  </si>
  <si>
    <t>Referiez-vous la même chose aujourd'hui ?</t>
  </si>
  <si>
    <t>Comment épargnez-vous ou optimisez-vous vos impôts jusqu'à présent ?</t>
  </si>
  <si>
    <t>Où voyez-vous d'autres possibilités pour réduire ou optimiser vos impôts ?</t>
  </si>
  <si>
    <t>Qui s'occupe de votre déclaration fiscale ?</t>
  </si>
  <si>
    <t>Avez-vous quelqu'un qui vous soutient dans vos décisions financières ?</t>
  </si>
  <si>
    <t>Quelle est l'influence de cette personne sur les décisions que vous prenez avec moi ?</t>
  </si>
  <si>
    <t>Como você se protegeu contra os riscos de velhice, morte e invalidez?</t>
  </si>
  <si>
    <t>Qual foi o motivo dessas considerações?</t>
  </si>
  <si>
    <t>Como você avalia sua situação atual de seguro em relação à sua proteção?</t>
  </si>
  <si>
    <t>Como você poupa e investe seu dinheiro?</t>
  </si>
  <si>
    <t>Quais reflexões e objetivos guiaram essa estratégia?</t>
  </si>
  <si>
    <t>Você investiria seu dinheiro da mesma maneira hoje?</t>
  </si>
  <si>
    <t>Como você se definiria como investidor? (conservador, equilibrado, dinâmico...)</t>
  </si>
  <si>
    <t>De quanta liquidez você precisa para se sentir confortável?</t>
  </si>
  <si>
    <t>Qual é sua visão sobre sua futura situação de habitação?</t>
  </si>
  <si>
    <t>Inquilino: O que você já fez para alcançar esse objetivo?</t>
  </si>
  <si>
    <t>Qual é a faixa de preço do seu imóvel (20% de capital próprio disponível)?</t>
  </si>
  <si>
    <t>Como você planeja obter os fundos necessários?</t>
  </si>
  <si>
    <t>Proprietário: Como você organizou o financiamento em relação à hipoteca e amortização?</t>
  </si>
  <si>
    <t>Qual foi a razão dessa solução?</t>
  </si>
  <si>
    <t>Você faria o mesmo hoje?</t>
  </si>
  <si>
    <t>Como você economiza ou otimiza impostos até hoje?</t>
  </si>
  <si>
    <t>Onde você vê outras possibilidades para economizar ou otimizar impostos?</t>
  </si>
  <si>
    <t>Quem faz sua declaração de imposto?</t>
  </si>
  <si>
    <t>Você tem alguém que o apoia nas decisões financeiras?</t>
  </si>
  <si>
    <t>Qual é a influência dessa pessoa nas decisões que você toma comigo?</t>
  </si>
  <si>
    <t>Как вы застрахованы от рисков старости, смерти и инвалидности?</t>
  </si>
  <si>
    <t>Что стало причиной этих размышлений?</t>
  </si>
  <si>
    <t>Как вы оцениваете свою текущую страховую ситуацию в контексте защиты?</t>
  </si>
  <si>
    <t>Как вы видите свою будущую жилищную ситуацию?</t>
  </si>
  <si>
    <t>Арендатор: Что вы уже сделали для достижения этой цели?</t>
  </si>
  <si>
    <t>В каком ценовом диапазоне находится ваш объект (20% собственных средств имеется)?</t>
  </si>
  <si>
    <t>Как вы планируете собрать необходимые собственные средства?</t>
  </si>
  <si>
    <t>Владелец: Как вы организовали финансирование в отношении ипотеки и амортизации?</t>
  </si>
  <si>
    <t>Почему вы выбрали это решение?</t>
  </si>
  <si>
    <t>Сделали бы вы то же самое сейчас?</t>
  </si>
  <si>
    <t>Как вы экономите или оптимизируете налоги на сегодняшний день?</t>
  </si>
  <si>
    <t>Где вы видите дополнительные возможности для экономии или оптимизации налогов?</t>
  </si>
  <si>
    <t>Кто занимается вашей налоговой декларацией?</t>
  </si>
  <si>
    <t>Как вы сберегаете и инвестируете свои деньги?</t>
  </si>
  <si>
    <t>Какие размышления и цели лежали в основе этой стратегии?</t>
  </si>
  <si>
    <t>Вложили бы вы свои деньги сейчас так же?</t>
  </si>
  <si>
    <t>Как бы вы охарактеризовали себя как инвестора? (консервативный, сбалансированный, динамичный...)</t>
  </si>
  <si>
    <t>Сколько ликвидности вам нужно, чтобы чувствовать себя комфортно?</t>
  </si>
  <si>
    <t>Есть ли у вас кто-то, кто помогает вам принимать финансовые решения?</t>
  </si>
  <si>
    <t>Насколько сильно это лицо влияет на решения, которые вы принимаете вместе со мной?</t>
  </si>
  <si>
    <t>How have you secured yourself against the risks of old age, death, and disability?</t>
  </si>
  <si>
    <t>What was the reason for these considerations?</t>
  </si>
  <si>
    <t>How do you assess your current insurance situation in relation to your coverage?</t>
  </si>
  <si>
    <t>What is your vision for your future housing situation?</t>
  </si>
  <si>
    <t>Tenant: What steps have you already taken to achieve this goal?</t>
  </si>
  <si>
    <t>What is the price range of your property (20% equity available)?</t>
  </si>
  <si>
    <t>How do you plan to secure the necessary equity?</t>
  </si>
  <si>
    <t>Homeowner: How have you organized financing in terms of mortgage and amortization?</t>
  </si>
  <si>
    <t>What was the reason for this solution?</t>
  </si>
  <si>
    <t>Would you approach it the same way today?</t>
  </si>
  <si>
    <t>How do you save or optimize taxes so far?</t>
  </si>
  <si>
    <t>Where do you see additional opportunities to save or optimize taxes?</t>
  </si>
  <si>
    <t>Who prepares your tax return?</t>
  </si>
  <si>
    <t>How do you save and invest your money?</t>
  </si>
  <si>
    <t>What considerations and goals guided this strategy?</t>
  </si>
  <si>
    <t>Would you invest your money the same way today?</t>
  </si>
  <si>
    <t>How would you describe yourself as an investor? (conservative, balanced, dynamic...)</t>
  </si>
  <si>
    <t>How much liquidity do you need to feel comfortable?</t>
  </si>
  <si>
    <t>Do you have someone who supports you in financial decisions?</t>
  </si>
  <si>
    <t>How strongly does this person influence the decisions you make with me?</t>
  </si>
  <si>
    <t>KRANKENVERSICHERUNG: LÖSUNGSVORSCHLAG</t>
  </si>
  <si>
    <t>ASSURANCE MALADIE : NOTRE PROPOSITION POUR LE CLIENT</t>
  </si>
  <si>
    <t>SEGURO DE SAÚDE: NOSSA PROPOSTA PARA O CLIENTE</t>
  </si>
  <si>
    <t>МЕДИЦИНСКОЕ СТРАХОВАНИЕ: НАШЕ ПРЕДЛОЖЕНИЕ ДЛЯ КЛИЕНТА</t>
  </si>
  <si>
    <t>HEALTH INSURANCE: OUR PROPOSED SOLUTION FOR THE CLIENT</t>
  </si>
  <si>
    <t>FINANZIERUNG</t>
  </si>
  <si>
    <t>NACHHALTIGKEIT DER HYPOTHEK IM TODESFALL</t>
  </si>
  <si>
    <t>Jährlicher Amortisationsbetrag</t>
  </si>
  <si>
    <t>Immobilienwert</t>
  </si>
  <si>
    <t>Aktuelle Hypothek</t>
  </si>
  <si>
    <t>Aktuelle Tragbarkeit</t>
  </si>
  <si>
    <t>Tragbarkeit im Rentenalter</t>
  </si>
  <si>
    <t>TRAGBARKEIT IM TODESFALL VON</t>
  </si>
  <si>
    <t>Aktuelle Einkommen</t>
  </si>
  <si>
    <t>Einkommen von</t>
  </si>
  <si>
    <t>Witwenrente für</t>
  </si>
  <si>
    <t>VARIABLE EINKOMMENSSITUATION</t>
  </si>
  <si>
    <t>Benötigtes Kapital zur Sicherung der Tragbarkeit von</t>
  </si>
  <si>
    <t>Kapital aus Versicherung im Todesfall von:</t>
  </si>
  <si>
    <t>Renten der P.S.</t>
  </si>
  <si>
    <t>Renten der A.S.</t>
  </si>
  <si>
    <t>Bis zur Pensionierung zu amortisieren (min)</t>
  </si>
  <si>
    <t>Bis zur Pensionierung zu amortisieren (max)</t>
  </si>
  <si>
    <t>FINANCEMENT</t>
  </si>
  <si>
    <t>VIABILITÉ DE L’HYPOTHÈQUE EN CAS DE DÉCÈS</t>
  </si>
  <si>
    <t>Montant annuel d’amortissement</t>
  </si>
  <si>
    <t>Valeur du bien immobilier</t>
  </si>
  <si>
    <t>Hypothèque actuelle</t>
  </si>
  <si>
    <t>Viabilité actuelle</t>
  </si>
  <si>
    <t>Viabilité à la retraite</t>
  </si>
  <si>
    <t>VIABILITÉ EN CAS DE DÉCÈS DE</t>
  </si>
  <si>
    <t>Revenus actuels</t>
  </si>
  <si>
    <t>Revenu de</t>
  </si>
  <si>
    <t>Rente de veuvage pour</t>
  </si>
  <si>
    <t>VARIABLES DE LA SITUATION REVENUE</t>
  </si>
  <si>
    <t>Capitaux nécessaires pour assurer la viabilité de</t>
  </si>
  <si>
    <t>Capitaux d’assurance en cas de décès de :</t>
  </si>
  <si>
    <t>Rente de la prévoyance P.S.</t>
  </si>
  <si>
    <t>Rente de la prévoyance A.S.</t>
  </si>
  <si>
    <t>Amortissement avant la retraite (min)</t>
  </si>
  <si>
    <t>Amortissement avant la retraite (max)</t>
  </si>
  <si>
    <t>FINANCIAMENTO</t>
  </si>
  <si>
    <t>SUSTENTABILIDADE DA HIPOTECA EM CASO DE FALECIMENTO</t>
  </si>
  <si>
    <t>Valor anual de amortização</t>
  </si>
  <si>
    <t>Valor do imóvel</t>
  </si>
  <si>
    <t>Hipoteca atual</t>
  </si>
  <si>
    <t>Sustentabilidade atual</t>
  </si>
  <si>
    <t>Sustentabilidade na aposentadoria</t>
  </si>
  <si>
    <t>SUSTENTABILIDADE EM CASO DE FALECIMENTO DE</t>
  </si>
  <si>
    <t>Rendimentos atuais</t>
  </si>
  <si>
    <t>Rendimento de</t>
  </si>
  <si>
    <t>Pensão de viuvez para</t>
  </si>
  <si>
    <t>VARIÁVEIS DA SITUAÇÃO DE RENDIMENTO</t>
  </si>
  <si>
    <t>Capitais necessários para garantir a sustentabilidade de</t>
  </si>
  <si>
    <t>Capitais do seguro em caso de falecimento de:</t>
  </si>
  <si>
    <t>Pensão de aposentadoria P.S.</t>
  </si>
  <si>
    <t>Pensão de aposentadoria A.S.</t>
  </si>
  <si>
    <t>Amortização até a aposentadoria (mínimo)</t>
  </si>
  <si>
    <t>Amortização até a aposentadoria (máximo)</t>
  </si>
  <si>
    <t>ФИНАНСИРОВАНИЕ</t>
  </si>
  <si>
    <t>УСТОЙЧИВОСТЬ ИПОТЕКИ В СЛУЧАЕ СМЕРТИ</t>
  </si>
  <si>
    <t>Годовая сумма амортизации</t>
  </si>
  <si>
    <t>Стоимость недвижимости</t>
  </si>
  <si>
    <t>Текущая ипотека</t>
  </si>
  <si>
    <t>Текущая устойчивость</t>
  </si>
  <si>
    <t>Устойчивость на пенсии</t>
  </si>
  <si>
    <t>УСТОЙЧИВОСТЬ В СЛУЧАЕ СМЕРТИ</t>
  </si>
  <si>
    <t>Текущие доходы</t>
  </si>
  <si>
    <t>Доход от</t>
  </si>
  <si>
    <t>Пенсия по вдовству для</t>
  </si>
  <si>
    <t>ИЗМЕНЕНИЯ В ДОХОДНОЙ СИТУАЦИИ</t>
  </si>
  <si>
    <t>Капитал, необходимый для обеспечения устойчивости</t>
  </si>
  <si>
    <t>Капитал из страхования в случае смерти:</t>
  </si>
  <si>
    <t>Пенсия P.S.</t>
  </si>
  <si>
    <t>Пенсия A.S.</t>
  </si>
  <si>
    <t>Амортизация до выхода на пенсию (минимум)</t>
  </si>
  <si>
    <t>Амортизация до выхода на пенсию (максимум)</t>
  </si>
  <si>
    <t>FINANCING</t>
  </si>
  <si>
    <t>MORTGAGE SUSTAINABILITY IN CASE OF DEATH</t>
  </si>
  <si>
    <t>Annual amortization amount</t>
  </si>
  <si>
    <t>Property value</t>
  </si>
  <si>
    <t>Current mortgage</t>
  </si>
  <si>
    <t>Current sustainability</t>
  </si>
  <si>
    <t>Sustainability at retirement</t>
  </si>
  <si>
    <t>SUSTAINABILITY IN CASE OF DEATH OF</t>
  </si>
  <si>
    <t>Current incomes</t>
  </si>
  <si>
    <t>Income of</t>
  </si>
  <si>
    <t>Widow's pension for</t>
  </si>
  <si>
    <t>VARIABLE INCOME SITUATION</t>
  </si>
  <si>
    <t>Capital required to ensure sustainability of</t>
  </si>
  <si>
    <t>Insurance capital in case of death of:</t>
  </si>
  <si>
    <t>Pension income P.S.</t>
  </si>
  <si>
    <t>Pension income A.S.</t>
  </si>
  <si>
    <t>To amortize before retirement (min)</t>
  </si>
  <si>
    <t>To amortize before retirement (max)</t>
  </si>
  <si>
    <t>SOMMA ASS. ATTUALE</t>
  </si>
  <si>
    <t>SOMA PROPOSTA</t>
  </si>
  <si>
    <t>PREMIO ATTUALE</t>
  </si>
  <si>
    <t>PREMIO PROPOSTA</t>
  </si>
  <si>
    <t>SCADENZA</t>
  </si>
  <si>
    <t>COPERTURA ASS.</t>
  </si>
  <si>
    <t>POLICE-NR.</t>
  </si>
  <si>
    <t>ABLAUF</t>
  </si>
  <si>
    <t>RISIKOTYP</t>
  </si>
  <si>
    <t>VERSICHERUNGSSCHUTZ</t>
  </si>
  <si>
    <t>SOMME ASSURANCE ACTUELLE</t>
  </si>
  <si>
    <t>SOMME PROPOSÉE</t>
  </si>
  <si>
    <t>PRIME ACTUELLE</t>
  </si>
  <si>
    <t>PRIME PROPOSÉE</t>
  </si>
  <si>
    <t>POLICE N°</t>
  </si>
  <si>
    <t>ÉCHÉANCE</t>
  </si>
  <si>
    <t>TYPE DE RISQUE</t>
  </si>
  <si>
    <t>COUVERTURE D’ASSURANCE</t>
  </si>
  <si>
    <t>SOMA ATUAL DO SEGURO</t>
  </si>
  <si>
    <t>PRÊMIO ATUAL</t>
  </si>
  <si>
    <t>PRÊMIO PROPOSTO</t>
  </si>
  <si>
    <t>APÓLICE N.º</t>
  </si>
  <si>
    <t>VENCIMENTO</t>
  </si>
  <si>
    <t>TIPO DE RISCO</t>
  </si>
  <si>
    <t>COBERTURA DO SEGURO</t>
  </si>
  <si>
    <t>ТЕКУЩАЯ СТРАХОВАЯ СУММА</t>
  </si>
  <si>
    <t>ПРЕДЛАГАЕМАЯ СУММА</t>
  </si>
  <si>
    <t>ТЕКУЩАЯ ПРЕМИЯ</t>
  </si>
  <si>
    <t>ПРЕДЛАГАЕМАЯ ПРЕМИЯ</t>
  </si>
  <si>
    <t>ПОЛИС №</t>
  </si>
  <si>
    <t>СРОК ДЕЙСТВИЯ</t>
  </si>
  <si>
    <t>ТИП РИСКА</t>
  </si>
  <si>
    <t>СТРАХОВОЕ ПОКРЫТИЕ</t>
  </si>
  <si>
    <t>CURRENT INSURANCE AMOUNT</t>
  </si>
  <si>
    <t>PROPOSED AMOUNT</t>
  </si>
  <si>
    <t>CURRENT PREMIUM</t>
  </si>
  <si>
    <t>PROPOSED PREMIUM</t>
  </si>
  <si>
    <t>POLICY NO.</t>
  </si>
  <si>
    <t>EXPIRATION</t>
  </si>
  <si>
    <t>RISK TYPE</t>
  </si>
  <si>
    <t>INSURANCE COVERAGE</t>
  </si>
  <si>
    <t>POLIZZA N.</t>
  </si>
  <si>
    <t>TIPOLOGIA RISCHIO</t>
  </si>
  <si>
    <t>SOMA ASS. PROPOSTA</t>
  </si>
  <si>
    <t>Incendio/Natura</t>
  </si>
  <si>
    <t>Danni acque</t>
  </si>
  <si>
    <t>Rottura vetri</t>
  </si>
  <si>
    <t>Furto</t>
  </si>
  <si>
    <t>All-risk</t>
  </si>
  <si>
    <t>Privata/famiglia</t>
  </si>
  <si>
    <t>Stabile</t>
  </si>
  <si>
    <t>Circolazione</t>
  </si>
  <si>
    <t>Medica</t>
  </si>
  <si>
    <t>RC</t>
  </si>
  <si>
    <t>Casco Parziale</t>
  </si>
  <si>
    <t>Collisione</t>
  </si>
  <si>
    <t>Occupanti</t>
  </si>
  <si>
    <t>Assistance</t>
  </si>
  <si>
    <t>Wasserschäden</t>
  </si>
  <si>
    <t>Glasbruch</t>
  </si>
  <si>
    <t>Diebstahl</t>
  </si>
  <si>
    <t>Privat/Haushalt</t>
  </si>
  <si>
    <t>Gebäude</t>
  </si>
  <si>
    <t>Motorfahrzeug</t>
  </si>
  <si>
    <t>Haftpflicht (RC)</t>
  </si>
  <si>
    <t>Teilkasko</t>
  </si>
  <si>
    <t>Kollision</t>
  </si>
  <si>
    <t>Dégâts d’eau</t>
  </si>
  <si>
    <t>Bris de glace</t>
  </si>
  <si>
    <t>Vol</t>
  </si>
  <si>
    <t>Tous risques</t>
  </si>
  <si>
    <t>Privé/Ménage</t>
  </si>
  <si>
    <t>Bâtiment</t>
  </si>
  <si>
    <t>Véhicule</t>
  </si>
  <si>
    <t>Responsabilité civile (RC)</t>
  </si>
  <si>
    <t>Casco partiel</t>
  </si>
  <si>
    <t>Collision</t>
  </si>
  <si>
    <t>Danos por água</t>
  </si>
  <si>
    <t>Quebra de vidros</t>
  </si>
  <si>
    <t>Roubo</t>
  </si>
  <si>
    <t>Todos os riscos</t>
  </si>
  <si>
    <t>Privado/Família</t>
  </si>
  <si>
    <t>Edifício</t>
  </si>
  <si>
    <t>Veículo motorizado</t>
  </si>
  <si>
    <t>Responsabilidade civil (RC)</t>
  </si>
  <si>
    <t>Cobertura parcial (casco parcial)</t>
  </si>
  <si>
    <t>Colisão</t>
  </si>
  <si>
    <t>Assistência</t>
  </si>
  <si>
    <t>Повреждения от воды</t>
  </si>
  <si>
    <t>Разбившееся стекло</t>
  </si>
  <si>
    <t>Кража</t>
  </si>
  <si>
    <t>Все риски (All-risk)</t>
  </si>
  <si>
    <t>Частное/Семейное</t>
  </si>
  <si>
    <t>Здание</t>
  </si>
  <si>
    <t>Транспортное средство</t>
  </si>
  <si>
    <t>Гражданская ответственность (RC)</t>
  </si>
  <si>
    <t>Частичное каско</t>
  </si>
  <si>
    <t>Столкновение</t>
  </si>
  <si>
    <t>Застрахованные лица (Пассажиры)</t>
  </si>
  <si>
    <t>Помощь (Assistance)</t>
  </si>
  <si>
    <t>Water damage</t>
  </si>
  <si>
    <t>Glass breakage</t>
  </si>
  <si>
    <t>Theft</t>
  </si>
  <si>
    <t>Private/Household</t>
  </si>
  <si>
    <t>Building</t>
  </si>
  <si>
    <t>Motor vehicle</t>
  </si>
  <si>
    <t>Civil liability (RC)</t>
  </si>
  <si>
    <t>Partial casco</t>
  </si>
  <si>
    <t>Insured persons (Occupants)</t>
  </si>
  <si>
    <t>Unfall</t>
  </si>
  <si>
    <t>Occupants</t>
  </si>
  <si>
    <t>ocupantes</t>
  </si>
  <si>
    <t>casco parcial</t>
  </si>
  <si>
    <t>HP</t>
  </si>
  <si>
    <t>Г. О.</t>
  </si>
  <si>
    <t>Civil liability</t>
  </si>
  <si>
    <t>Med.</t>
  </si>
  <si>
    <t>Méd.</t>
  </si>
  <si>
    <t>Мед.</t>
  </si>
  <si>
    <t>Incendie/Év. Nat.</t>
  </si>
  <si>
    <t>Incêndio/Ev. nat.</t>
  </si>
  <si>
    <t>Пожар/Стих.</t>
  </si>
  <si>
    <t>Fire/Nat. Haz.</t>
  </si>
  <si>
    <t>Feuer/Nat.</t>
  </si>
  <si>
    <t>Hausrat- und H.P.</t>
  </si>
  <si>
    <t>H.P. Gebäude</t>
  </si>
  <si>
    <t>H.P. Privat</t>
  </si>
  <si>
    <t>RC Stabili</t>
  </si>
  <si>
    <t>RC Privata</t>
  </si>
  <si>
    <t>RC V.M.</t>
  </si>
  <si>
    <t>R.C. Bâtiment</t>
  </si>
  <si>
    <t>R.C. Privée</t>
  </si>
  <si>
    <t>R.C. Imóvel</t>
  </si>
  <si>
    <t>R.C. Privada</t>
  </si>
  <si>
    <r>
      <t>ГО Здание</t>
    </r>
    <r>
      <rPr>
        <sz val="10"/>
        <rFont val="Arial"/>
        <family val="2"/>
      </rPr>
      <t xml:space="preserve"> (Гражданская ответственность)</t>
    </r>
  </si>
  <si>
    <t>ГО Частная</t>
  </si>
  <si>
    <t>C.L. Private</t>
  </si>
  <si>
    <t>C.L. Building</t>
  </si>
  <si>
    <t>H.P. MFZ</t>
  </si>
  <si>
    <t>R.C.</t>
  </si>
  <si>
    <t xml:space="preserve">R.C. </t>
  </si>
  <si>
    <t>ГО</t>
  </si>
  <si>
    <t xml:space="preserve">C.L. </t>
  </si>
  <si>
    <t>AKTUELLE VERS. SSUMME</t>
  </si>
  <si>
    <t>VORGESCHL. VERS. SUMME</t>
  </si>
  <si>
    <t>AKTUELLE PRÄMIE</t>
  </si>
  <si>
    <t>VORGESCHL. PRÄMIE</t>
  </si>
  <si>
    <t>Lacuna di copertura</t>
  </si>
  <si>
    <t>Deckungslücke</t>
  </si>
  <si>
    <t>Lacune de couverture</t>
  </si>
  <si>
    <t>Lacuna de cobertura</t>
  </si>
  <si>
    <t>Пропуск в покрытии</t>
  </si>
  <si>
    <t>Coverage gap</t>
  </si>
  <si>
    <t>Bedarf + Vorschläge</t>
  </si>
  <si>
    <t>Vorschlag 1</t>
  </si>
  <si>
    <t>Min. 80% Aktien</t>
  </si>
  <si>
    <t>Vorschlag</t>
  </si>
  <si>
    <t>Einzahlung bis zur Pension</t>
  </si>
  <si>
    <t>pro Monat</t>
  </si>
  <si>
    <t>Lebenssituation</t>
  </si>
  <si>
    <t>Sicherheit für Familie</t>
  </si>
  <si>
    <t>Finanzielle Sicherheit in allen Lebenslagen</t>
  </si>
  <si>
    <t>Finanzielle Freiheit im Alter</t>
  </si>
  <si>
    <t>Vermögen aufbauen + vermehren</t>
  </si>
  <si>
    <t>Eigenheim erwerben + halten</t>
  </si>
  <si>
    <t>Flexibilität (Reise, Weiterbildung usw.)</t>
  </si>
  <si>
    <t>Risiko</t>
  </si>
  <si>
    <t>Lücke Tod</t>
  </si>
  <si>
    <t>Lücke Invalidität (Krankheit)</t>
  </si>
  <si>
    <t>Kapital bei Pension</t>
  </si>
  <si>
    <t>Garantie Erreichung des Kapitals</t>
  </si>
  <si>
    <t>Performance des Fonds seit 5 Jahren</t>
  </si>
  <si>
    <t>Kosten des Fonds</t>
  </si>
  <si>
    <t>Ausgaben optimieren</t>
  </si>
  <si>
    <t>Angespartes Kapital</t>
  </si>
  <si>
    <t>Kann nicht gedeckt werden!</t>
  </si>
  <si>
    <t>Nicht garantiert</t>
  </si>
  <si>
    <t>garantiert</t>
  </si>
  <si>
    <t>Monat</t>
  </si>
  <si>
    <t>Monat (zahlbar 3 monatlich 100.-)</t>
  </si>
  <si>
    <t>Proposta</t>
  </si>
  <si>
    <t>Min. 80% Azioni</t>
  </si>
  <si>
    <t>Versamenti fino alla pensione</t>
  </si>
  <si>
    <t>al mese</t>
  </si>
  <si>
    <t>Situazione di vita</t>
  </si>
  <si>
    <t>Sicurezza per la famiglia</t>
  </si>
  <si>
    <t>Sicurezza finanziaria in tutte le circostanze della vita</t>
  </si>
  <si>
    <t>Libertà finanziaria in pensione</t>
  </si>
  <si>
    <t>Costruire e accrescere il patrimonio</t>
  </si>
  <si>
    <t>Risparmiare sulle tasse</t>
  </si>
  <si>
    <t>Acquistare e mantenere una casa di proprietà</t>
  </si>
  <si>
    <t>Flessibilità (viaggi, formazione, ecc.)</t>
  </si>
  <si>
    <t>Rischio</t>
  </si>
  <si>
    <t>Gap in caso di morte</t>
  </si>
  <si>
    <t>Gap in caso di invalidità (malattia)</t>
  </si>
  <si>
    <t>Capitale alla pensione</t>
  </si>
  <si>
    <t>Garanzia del raggiungimento del capitale</t>
  </si>
  <si>
    <t>Performance del fondo negli ultimi 5 anni</t>
  </si>
  <si>
    <t>Costi del fondo</t>
  </si>
  <si>
    <t>Ottimizzare le spese</t>
  </si>
  <si>
    <t>Capitale accumulato</t>
  </si>
  <si>
    <t>Non può essere coperto!</t>
  </si>
  <si>
    <t>Non garantito</t>
  </si>
  <si>
    <t>Garantito</t>
  </si>
  <si>
    <t>Mese</t>
  </si>
  <si>
    <t>Mese (pagabile trimestralmente 100.-)</t>
  </si>
  <si>
    <t>Besoins + Propositions</t>
  </si>
  <si>
    <t>Proposition</t>
  </si>
  <si>
    <t>Min. 80% Actions</t>
  </si>
  <si>
    <t>Versements jusqu'à la retraite</t>
  </si>
  <si>
    <t>par mois</t>
  </si>
  <si>
    <t>Années</t>
  </si>
  <si>
    <t>Situation de vie</t>
  </si>
  <si>
    <t>Sécurité pour la famille</t>
  </si>
  <si>
    <t>Sécurité financière en toutes circonstances</t>
  </si>
  <si>
    <t>Liberté financière à la retraite</t>
  </si>
  <si>
    <t>Construire et augmenter le patrimoine</t>
  </si>
  <si>
    <t>Économiser sur les impôts</t>
  </si>
  <si>
    <t>Acheter et maintenir une maison</t>
  </si>
  <si>
    <t>Flexibilité (voyages, formations, etc.)</t>
  </si>
  <si>
    <t>Risque</t>
  </si>
  <si>
    <t>Lacune en cas de décès</t>
  </si>
  <si>
    <t>Lacune en cas d'invalidité (maladie)</t>
  </si>
  <si>
    <t>Capital à la retraite</t>
  </si>
  <si>
    <t>Garantie d'atteinte du capital</t>
  </si>
  <si>
    <t>Performance du fonds sur les 5 dernières années</t>
  </si>
  <si>
    <t>Coûts du fonds</t>
  </si>
  <si>
    <t>Optimiser les dépenses</t>
  </si>
  <si>
    <t>Besoins</t>
  </si>
  <si>
    <t>Capital accumulé</t>
  </si>
  <si>
    <t>Ne peut pas être couvert!</t>
  </si>
  <si>
    <t>Non garanti</t>
  </si>
  <si>
    <t>Garanti</t>
  </si>
  <si>
    <t>Mois</t>
  </si>
  <si>
    <t>Mois (payable trimestriellement 100.-)</t>
  </si>
  <si>
    <t>Necessidades + Propostas</t>
  </si>
  <si>
    <t>Min. 80% Ações</t>
  </si>
  <si>
    <t>Contribuições até a aposentadoria</t>
  </si>
  <si>
    <t>por mês</t>
  </si>
  <si>
    <t>Anos</t>
  </si>
  <si>
    <t>Situação de vida</t>
  </si>
  <si>
    <t>Segurança para a família</t>
  </si>
  <si>
    <t>Segurança financeira em todas as situações de vida</t>
  </si>
  <si>
    <t>Liberdade financeira na aposentadoria</t>
  </si>
  <si>
    <t>Construir e aumentar o patrimônio</t>
  </si>
  <si>
    <t>Comprar e manter uma casa própria</t>
  </si>
  <si>
    <t>Flexibilidade (viagens, formação, etc.)</t>
  </si>
  <si>
    <t>Risco</t>
  </si>
  <si>
    <t>Lacuna em caso de morte</t>
  </si>
  <si>
    <t>Lacuna em caso de invalidez (doença)</t>
  </si>
  <si>
    <t>Capital na aposentadoria</t>
  </si>
  <si>
    <t>Garantia de alcance do capital</t>
  </si>
  <si>
    <t>Desempenho do fundo nos últimos 5 anos</t>
  </si>
  <si>
    <t>Custos do fundo</t>
  </si>
  <si>
    <t>Otimizar despesas</t>
  </si>
  <si>
    <t>Necessidades</t>
  </si>
  <si>
    <t>Capital acumulado</t>
  </si>
  <si>
    <t>Não pode ser coberto!</t>
  </si>
  <si>
    <t>Não garantido</t>
  </si>
  <si>
    <t>Garantido</t>
  </si>
  <si>
    <t>Mês</t>
  </si>
  <si>
    <t>Mês (pagável trimestralmente 100.-)</t>
  </si>
  <si>
    <t>Потребности + Предложения</t>
  </si>
  <si>
    <t>Предложение</t>
  </si>
  <si>
    <t>Мин. 80% Акции</t>
  </si>
  <si>
    <t>Взносы до пенсии</t>
  </si>
  <si>
    <t>в месяц</t>
  </si>
  <si>
    <t>Годы</t>
  </si>
  <si>
    <t>Жизненная ситуация</t>
  </si>
  <si>
    <t>Защита для семьи</t>
  </si>
  <si>
    <t>Финансовая безопасность в любой жизненной ситуации</t>
  </si>
  <si>
    <t>Финансовая свобода на пенсии</t>
  </si>
  <si>
    <t>Создание и увеличение капитала</t>
  </si>
  <si>
    <t>Экономия на налогах</t>
  </si>
  <si>
    <t>Покупка и сохранение собственного дома</t>
  </si>
  <si>
    <t>Гибкость (путешествия, образование и т.д.)</t>
  </si>
  <si>
    <t>Риск</t>
  </si>
  <si>
    <t>Разрыв в случае смерти</t>
  </si>
  <si>
    <t>Разрыв в случае инвалидности (болезни)</t>
  </si>
  <si>
    <t>Капитал к пенсии</t>
  </si>
  <si>
    <t>Гарантия достижения капитала</t>
  </si>
  <si>
    <t>Доходность фонда за последние 5 лет</t>
  </si>
  <si>
    <t>Стоимость фонда</t>
  </si>
  <si>
    <t>Оптимизация расходов</t>
  </si>
  <si>
    <t>Потребности</t>
  </si>
  <si>
    <t>Накопленный капитал</t>
  </si>
  <si>
    <t>Не может быть покрыто!</t>
  </si>
  <si>
    <t>Не гарантировано</t>
  </si>
  <si>
    <t>Гарантировано</t>
  </si>
  <si>
    <t>Месяц</t>
  </si>
  <si>
    <t>Месяц (оплачивается раз в три месяца по 100.-)</t>
  </si>
  <si>
    <t>Needs + Proposals</t>
  </si>
  <si>
    <t>Proposal</t>
  </si>
  <si>
    <t>Min. 80% Stocks</t>
  </si>
  <si>
    <t>Contributions until retirement</t>
  </si>
  <si>
    <t>per month</t>
  </si>
  <si>
    <t>Life situation</t>
  </si>
  <si>
    <t>Security for family</t>
  </si>
  <si>
    <t>Financial security in all circumstances</t>
  </si>
  <si>
    <t>Financial freedom in retirement</t>
  </si>
  <si>
    <t>Buy and maintain a home</t>
  </si>
  <si>
    <t>Flexibility (travel, education, etc.)</t>
  </si>
  <si>
    <t>Risk</t>
  </si>
  <si>
    <t>Gap in case of death</t>
  </si>
  <si>
    <t>Gap in case of disability (illness)</t>
  </si>
  <si>
    <t>Capital at retirement</t>
  </si>
  <si>
    <t>Guarantee of reaching capital</t>
  </si>
  <si>
    <t>Fund performance over the past 5 years</t>
  </si>
  <si>
    <t>Fund costs</t>
  </si>
  <si>
    <t>Optimize expenses</t>
  </si>
  <si>
    <t>Needs</t>
  </si>
  <si>
    <t>Accumulated capital</t>
  </si>
  <si>
    <t>Cannot be covered!</t>
  </si>
  <si>
    <t>Not guaranteed</t>
  </si>
  <si>
    <t>Guaranteed</t>
  </si>
  <si>
    <t>Month</t>
  </si>
  <si>
    <t>Month (payable quarterly 100.-)</t>
  </si>
  <si>
    <t>Riepilogo Fabbisogno &amp; Proposte di soluzione</t>
  </si>
  <si>
    <t>Groupe Mutuel</t>
  </si>
  <si>
    <t>Swiss Life</t>
  </si>
  <si>
    <t>Generali</t>
  </si>
  <si>
    <t>Zürich</t>
  </si>
  <si>
    <t>Liechtenstein Life</t>
  </si>
  <si>
    <t>Allianz</t>
  </si>
  <si>
    <t>Helvetia</t>
  </si>
  <si>
    <t>Raiffeisen</t>
  </si>
  <si>
    <t>UBS</t>
  </si>
  <si>
    <t>Pax</t>
  </si>
  <si>
    <t>AXA</t>
  </si>
  <si>
    <t>Baloise</t>
  </si>
  <si>
    <t>Attuale</t>
  </si>
  <si>
    <t>Aktuell</t>
  </si>
  <si>
    <t>Actuel</t>
  </si>
  <si>
    <t>Atual</t>
  </si>
  <si>
    <t>Текущая</t>
  </si>
  <si>
    <t>Current</t>
  </si>
  <si>
    <t>Proposta 1</t>
  </si>
  <si>
    <t>Proposta 2</t>
  </si>
  <si>
    <t>Proposta 3</t>
  </si>
  <si>
    <t>Proposta 4</t>
  </si>
  <si>
    <t>Vorschlag 2</t>
  </si>
  <si>
    <t>Vorschlag 3</t>
  </si>
  <si>
    <t>Vorschlag 4</t>
  </si>
  <si>
    <t>Proposition 1</t>
  </si>
  <si>
    <t>Proposition 2</t>
  </si>
  <si>
    <t>Proposition 3</t>
  </si>
  <si>
    <t>Proposition 4</t>
  </si>
  <si>
    <t>Предложение 1</t>
  </si>
  <si>
    <t>Предложение 2</t>
  </si>
  <si>
    <t>Предложение 3</t>
  </si>
  <si>
    <t>Предложение 4</t>
  </si>
  <si>
    <t>Proposal 1</t>
  </si>
  <si>
    <t>Proposal 2</t>
  </si>
  <si>
    <t>Proposal 3</t>
  </si>
  <si>
    <t>Proposal 4</t>
  </si>
  <si>
    <t>Costi della polizza/conto</t>
  </si>
  <si>
    <t>Costi del fondo (TER)</t>
  </si>
  <si>
    <t>Costi totali Polizza/conto + TER fondo</t>
  </si>
  <si>
    <t>Kosten der Police/Kontos</t>
  </si>
  <si>
    <t>Fondskosten (TER)</t>
  </si>
  <si>
    <t>Gesamtkosten Police/Konto + TER des Fonds</t>
  </si>
  <si>
    <t>Coûts de la police/du compte</t>
  </si>
  <si>
    <t>Coûts du fonds (TER)</t>
  </si>
  <si>
    <t>Coûts totaux Police/compte + TER du fonds</t>
  </si>
  <si>
    <t>Custos da apólice/conta</t>
  </si>
  <si>
    <t>Custos do fundo (TER)</t>
  </si>
  <si>
    <t>Custos totais Apólice/conta + TER do fundo</t>
  </si>
  <si>
    <t>Стоимость полиса/счета</t>
  </si>
  <si>
    <t>Стоимость фонда (TER)</t>
  </si>
  <si>
    <t>Общие затраты Полис/счет + TER фонда</t>
  </si>
  <si>
    <t>Policy/account costs</t>
  </si>
  <si>
    <t>Fund costs (TER)</t>
  </si>
  <si>
    <t>Total costs Policy/account + Fund TER</t>
  </si>
  <si>
    <t>nessuno al momento</t>
  </si>
  <si>
    <t>Capital withdrawal for home</t>
  </si>
  <si>
    <t>Изъятие капитала для жилья</t>
  </si>
  <si>
    <t xml:space="preserve">Retirada de capital para casa própria </t>
  </si>
  <si>
    <t xml:space="preserve">Retrait de capital pour la maison </t>
  </si>
  <si>
    <t>Kapitalbezug bei Eigenheim</t>
  </si>
  <si>
    <t>Prelievo di capitale per la casa di proprietà</t>
  </si>
  <si>
    <t>1 anno</t>
  </si>
  <si>
    <t>2 anni</t>
  </si>
  <si>
    <t>3 anni</t>
  </si>
  <si>
    <t>4 anni</t>
  </si>
  <si>
    <t>5 anni</t>
  </si>
  <si>
    <t>6 anni</t>
  </si>
  <si>
    <t>7 anni</t>
  </si>
  <si>
    <t>9 anni</t>
  </si>
  <si>
    <t>10 anni</t>
  </si>
  <si>
    <t>8 anni</t>
  </si>
  <si>
    <t>1 Jahr</t>
  </si>
  <si>
    <t>2 Jahre</t>
  </si>
  <si>
    <t>3 Jahre</t>
  </si>
  <si>
    <t>4 Jahre</t>
  </si>
  <si>
    <t>5 Jahre</t>
  </si>
  <si>
    <t>6 Jahre</t>
  </si>
  <si>
    <t>7 Jahre</t>
  </si>
  <si>
    <t>8 Jahre</t>
  </si>
  <si>
    <t>9 Jahre</t>
  </si>
  <si>
    <t>10 Jahre</t>
  </si>
  <si>
    <t>1 an</t>
  </si>
  <si>
    <t>2 ans</t>
  </si>
  <si>
    <t>3 ans</t>
  </si>
  <si>
    <t>4 ans</t>
  </si>
  <si>
    <t>5 ans</t>
  </si>
  <si>
    <t>6 ans</t>
  </si>
  <si>
    <t>7 ans</t>
  </si>
  <si>
    <t>8 ans</t>
  </si>
  <si>
    <t>9 ans</t>
  </si>
  <si>
    <t>10 ans</t>
  </si>
  <si>
    <t>1 ano</t>
  </si>
  <si>
    <t>2 anos</t>
  </si>
  <si>
    <t>3 anos</t>
  </si>
  <si>
    <t>4 anos</t>
  </si>
  <si>
    <t>5 anos</t>
  </si>
  <si>
    <t>6 anos</t>
  </si>
  <si>
    <t>7 anos</t>
  </si>
  <si>
    <t>8 anos</t>
  </si>
  <si>
    <t>9 anos</t>
  </si>
  <si>
    <t>10 anos</t>
  </si>
  <si>
    <t>1 год</t>
  </si>
  <si>
    <t>2 года</t>
  </si>
  <si>
    <t>3 года</t>
  </si>
  <si>
    <t>4 года</t>
  </si>
  <si>
    <t>5 лет</t>
  </si>
  <si>
    <t>6 лет</t>
  </si>
  <si>
    <t>7 лет</t>
  </si>
  <si>
    <t>8 лет</t>
  </si>
  <si>
    <t>9 лет</t>
  </si>
  <si>
    <t>10 лет</t>
  </si>
  <si>
    <t>1 year</t>
  </si>
  <si>
    <t>2 years</t>
  </si>
  <si>
    <t>3 years</t>
  </si>
  <si>
    <t>4 years</t>
  </si>
  <si>
    <t>5 years</t>
  </si>
  <si>
    <t>6 years</t>
  </si>
  <si>
    <t>7 years</t>
  </si>
  <si>
    <t>8 years</t>
  </si>
  <si>
    <t>9 years</t>
  </si>
  <si>
    <t>10 years</t>
  </si>
  <si>
    <t>15 anni</t>
  </si>
  <si>
    <t>20 anni</t>
  </si>
  <si>
    <t>25 anni</t>
  </si>
  <si>
    <t>30 anni</t>
  </si>
  <si>
    <t>35 anni</t>
  </si>
  <si>
    <t>40 anni</t>
  </si>
  <si>
    <t>15 Jahre</t>
  </si>
  <si>
    <t>20 Jahre</t>
  </si>
  <si>
    <t>25 Jahre</t>
  </si>
  <si>
    <t>30 Jahre</t>
  </si>
  <si>
    <t>35 Jahre</t>
  </si>
  <si>
    <t>40 Jahre</t>
  </si>
  <si>
    <t>15 ans</t>
  </si>
  <si>
    <t>20 ans</t>
  </si>
  <si>
    <t>25 ans</t>
  </si>
  <si>
    <t>30 ans</t>
  </si>
  <si>
    <t>35 ans</t>
  </si>
  <si>
    <t>40 ans</t>
  </si>
  <si>
    <t>15 anos</t>
  </si>
  <si>
    <t>20 anos</t>
  </si>
  <si>
    <t>25 anos</t>
  </si>
  <si>
    <t>30 anos</t>
  </si>
  <si>
    <t>35 anos</t>
  </si>
  <si>
    <t>40 anos</t>
  </si>
  <si>
    <t>15 лет</t>
  </si>
  <si>
    <t>20 лет</t>
  </si>
  <si>
    <t>25 лет</t>
  </si>
  <si>
    <t>30 лет</t>
  </si>
  <si>
    <t>35 лет</t>
  </si>
  <si>
    <t>40 лет</t>
  </si>
  <si>
    <t>15 years</t>
  </si>
  <si>
    <t>20 years</t>
  </si>
  <si>
    <t>25 years</t>
  </si>
  <si>
    <t>30 years</t>
  </si>
  <si>
    <t>35 years</t>
  </si>
  <si>
    <t>40 years</t>
  </si>
  <si>
    <t>0.-- / mese</t>
  </si>
  <si>
    <t>100.--/ mese</t>
  </si>
  <si>
    <t>50.--/ mese</t>
  </si>
  <si>
    <t>33.--/ mese (100.-- / trimestre)</t>
  </si>
  <si>
    <t>150.--/ mese</t>
  </si>
  <si>
    <t>250.--/ mese</t>
  </si>
  <si>
    <t>0.-- / Monat</t>
  </si>
  <si>
    <t>33.-- / Monat (100.-- / Quartal)</t>
  </si>
  <si>
    <t>50.-- / Monat</t>
  </si>
  <si>
    <t>100.-- / Monat</t>
  </si>
  <si>
    <t>150.-- / Monat</t>
  </si>
  <si>
    <t>250.-- / Monat</t>
  </si>
  <si>
    <t>0.-- / mois</t>
  </si>
  <si>
    <t>33.-- / mois (100.-- / trimestre)</t>
  </si>
  <si>
    <t>50.-- / mois</t>
  </si>
  <si>
    <t>100.-- / mois</t>
  </si>
  <si>
    <t>150.-- / mois</t>
  </si>
  <si>
    <t>250.-- / mois</t>
  </si>
  <si>
    <t>0.-- / mês</t>
  </si>
  <si>
    <t>33.-- / mês (100.-- / trimestre)</t>
  </si>
  <si>
    <t>50.-- / mês</t>
  </si>
  <si>
    <t>100.-- / mês</t>
  </si>
  <si>
    <t>150.-- / mês</t>
  </si>
  <si>
    <t>250.-- / mês</t>
  </si>
  <si>
    <t>0.-- / месяц</t>
  </si>
  <si>
    <t>33.-- / месяц (100.-- / квартал)</t>
  </si>
  <si>
    <t>50.-- / месяц</t>
  </si>
  <si>
    <t>100.-- / месяц</t>
  </si>
  <si>
    <t>150.-- / месяц</t>
  </si>
  <si>
    <t>250.-- / месяц</t>
  </si>
  <si>
    <t>0.-- / month</t>
  </si>
  <si>
    <t>33.-- / month (100.-- / quarter)</t>
  </si>
  <si>
    <t>50.-- / month</t>
  </si>
  <si>
    <t>100.-- / month</t>
  </si>
  <si>
    <t>150.-- / month</t>
  </si>
  <si>
    <t>250.-- / month</t>
  </si>
  <si>
    <t>12'000.-- rendita annua assicurata</t>
  </si>
  <si>
    <t>150'000 - 2%</t>
  </si>
  <si>
    <t>200000 - 3%</t>
  </si>
  <si>
    <t>900'000 - 10%</t>
  </si>
  <si>
    <t>300'000 - 4%</t>
  </si>
  <si>
    <t>65000 - 0%</t>
  </si>
  <si>
    <t>180000 - 3%</t>
  </si>
  <si>
    <t>LAMal   / KVG</t>
  </si>
  <si>
    <t>LCA  /  VVG</t>
  </si>
  <si>
    <t>Consulente</t>
  </si>
  <si>
    <t>Tipologia di rischio</t>
  </si>
  <si>
    <t>Copertura assicurata</t>
  </si>
  <si>
    <t>Rischio Max.</t>
  </si>
  <si>
    <t>Compagnia ATTUALE</t>
  </si>
  <si>
    <t>Polizza N.</t>
  </si>
  <si>
    <t>Somma ass. ATTUALE</t>
  </si>
  <si>
    <t>Somma ass. PROPOSTA</t>
  </si>
  <si>
    <t>Premio annuo ATTUALE</t>
  </si>
  <si>
    <t>Premio annuo PROPOSTO</t>
  </si>
  <si>
    <t>Stabili</t>
  </si>
  <si>
    <t>ZURIGO</t>
  </si>
  <si>
    <t xml:space="preserve">150.1234.56 </t>
  </si>
  <si>
    <t>Perdita di esercizio</t>
  </si>
  <si>
    <t>150.1234.60</t>
  </si>
  <si>
    <t>Beni mobili</t>
  </si>
  <si>
    <t>Responsabilità Civile</t>
  </si>
  <si>
    <t>150.1234.67</t>
  </si>
  <si>
    <t>Protezione Giuridica</t>
  </si>
  <si>
    <t>Extracontrattuale</t>
  </si>
  <si>
    <t>Contrattuale</t>
  </si>
  <si>
    <t>Dirigenti/soci</t>
  </si>
  <si>
    <t>Decesso</t>
  </si>
  <si>
    <t>3B-123456</t>
  </si>
  <si>
    <t>Personale</t>
  </si>
  <si>
    <t>Lanif</t>
  </si>
  <si>
    <t>P.G. Malattia</t>
  </si>
  <si>
    <t>150.1234.72</t>
  </si>
  <si>
    <t>Assicurazioni tecniche</t>
  </si>
  <si>
    <t>Montaggio</t>
  </si>
  <si>
    <t>Cyber</t>
  </si>
  <si>
    <t>Altro</t>
  </si>
  <si>
    <t>TOTALE</t>
  </si>
  <si>
    <t>DIFFERENZA:</t>
  </si>
  <si>
    <t>DATI DA SCHEMA</t>
  </si>
  <si>
    <t>RISCHIO FINANZ. ATTUALE:</t>
  </si>
  <si>
    <t xml:space="preserve"> DATI INVERTITI PER GRAFICO</t>
  </si>
  <si>
    <t>SITUAZIONE ATTUALE, DATI PER GRAFICO</t>
  </si>
  <si>
    <t>SITUAZIONE PROPOSTA DATI PER GRAFICO</t>
  </si>
  <si>
    <t>Trasp.</t>
  </si>
  <si>
    <t>Trasporti(Cose)</t>
  </si>
  <si>
    <t>Trasporti (RC)</t>
  </si>
  <si>
    <t>Invalidità</t>
  </si>
  <si>
    <t>Compl.Lainf</t>
  </si>
  <si>
    <t>Diverse</t>
  </si>
  <si>
    <t>Impresa</t>
  </si>
  <si>
    <t>Professionale</t>
  </si>
  <si>
    <t>Macchine</t>
  </si>
  <si>
    <t>Casco macchine</t>
  </si>
  <si>
    <t>Impianti ITG/EED</t>
  </si>
  <si>
    <t>Danni di ripercussione</t>
  </si>
  <si>
    <t>Infortuni Clienti</t>
  </si>
  <si>
    <t xml:space="preserve">Info fornite da: </t>
  </si>
  <si>
    <t>Infos bereitgestellt von:</t>
  </si>
  <si>
    <t>Infos fournies par:</t>
  </si>
  <si>
    <t>Informações fornecidas por:</t>
  </si>
  <si>
    <t>Информация предоставлена:</t>
  </si>
  <si>
    <t>Info provided by:</t>
  </si>
  <si>
    <t>PMI ANALISI AZIENDALE</t>
  </si>
  <si>
    <t>KMU Unternehmensanalyse</t>
  </si>
  <si>
    <t>Risikotyp</t>
  </si>
  <si>
    <t>Versicherungsdeckung</t>
  </si>
  <si>
    <t>Maximalrisiko</t>
  </si>
  <si>
    <t>Policennummer</t>
  </si>
  <si>
    <t>Fälligkeit</t>
  </si>
  <si>
    <t>Technische Versicherungen</t>
  </si>
  <si>
    <t>Feuer/Naturereignisse</t>
  </si>
  <si>
    <t>Glasschäden</t>
  </si>
  <si>
    <t>Betriebsunterbrechung</t>
  </si>
  <si>
    <t>Folgeschäden</t>
  </si>
  <si>
    <t>Warentransporte</t>
  </si>
  <si>
    <t>Transporthaftpflicht</t>
  </si>
  <si>
    <t>Betrieb</t>
  </si>
  <si>
    <t>Berufshaftpflicht</t>
  </si>
  <si>
    <t>Gebäudehaftpflicht</t>
  </si>
  <si>
    <t>Ausservertraglich</t>
  </si>
  <si>
    <t>Vertraglich</t>
  </si>
  <si>
    <t>Todesfall</t>
  </si>
  <si>
    <t>Invalidität</t>
  </si>
  <si>
    <t>Zusatzversicherung UVG</t>
  </si>
  <si>
    <t>Krankentaggeld</t>
  </si>
  <si>
    <t>Maschinen</t>
  </si>
  <si>
    <t>Montage</t>
  </si>
  <si>
    <t>Maschinenkasko</t>
  </si>
  <si>
    <t>Cyberversicherung</t>
  </si>
  <si>
    <t>IT/EDV-Anlagen</t>
  </si>
  <si>
    <t>Kundenunfälle</t>
  </si>
  <si>
    <t>Sonstiges</t>
  </si>
  <si>
    <t>Gesamtbetrag</t>
  </si>
  <si>
    <t>Differenz</t>
  </si>
  <si>
    <t>AKTUELLE Gesellschaft</t>
  </si>
  <si>
    <t>AKTUELLE Jahresprämie</t>
  </si>
  <si>
    <t>Analyse d’entreprise des PME</t>
  </si>
  <si>
    <t>Type de risque</t>
  </si>
  <si>
    <t>Couverture assurée</t>
  </si>
  <si>
    <t>Risque Max.</t>
  </si>
  <si>
    <t>Compagnie ACTUELLE</t>
  </si>
  <si>
    <t>N° de police</t>
  </si>
  <si>
    <t>Échéance</t>
  </si>
  <si>
    <t>SOMME ACTUELLE</t>
  </si>
  <si>
    <t>Prime annuelle ACTUELLE</t>
  </si>
  <si>
    <t>Prime annuelle PROPOSÉE</t>
  </si>
  <si>
    <t>Bâtiments</t>
  </si>
  <si>
    <t>Biens mobiliers</t>
  </si>
  <si>
    <t>Assurances techniques</t>
  </si>
  <si>
    <t>Incendie/Nature</t>
  </si>
  <si>
    <t>Dégâts des eaux</t>
  </si>
  <si>
    <t>Perte d’exploitation</t>
  </si>
  <si>
    <t>Dommages consécutifs</t>
  </si>
  <si>
    <t>Transports (biens)</t>
  </si>
  <si>
    <t>Transports (RC)</t>
  </si>
  <si>
    <t>Entreprise</t>
  </si>
  <si>
    <t>Professionnelle</t>
  </si>
  <si>
    <t>Responsabilité des bâtiments</t>
  </si>
  <si>
    <t>Extracontractuelle</t>
  </si>
  <si>
    <t>Contractuelle</t>
  </si>
  <si>
    <t>Décès</t>
  </si>
  <si>
    <t>Invalidité</t>
  </si>
  <si>
    <t>Complémentaire LAA</t>
  </si>
  <si>
    <t>Indemnités journalières maladie</t>
  </si>
  <si>
    <t>Machines</t>
  </si>
  <si>
    <t>Casco machines</t>
  </si>
  <si>
    <t>Cyberassurance</t>
  </si>
  <si>
    <t>Installations IT/EDP</t>
  </si>
  <si>
    <t>Accidents clients</t>
  </si>
  <si>
    <t>Autres</t>
  </si>
  <si>
    <t>Total</t>
  </si>
  <si>
    <t>Différence</t>
  </si>
  <si>
    <t>Análise empresarial das PME</t>
  </si>
  <si>
    <t>Tipo de risco</t>
  </si>
  <si>
    <t>Cobertura segurada</t>
  </si>
  <si>
    <t>Risco Máx.</t>
  </si>
  <si>
    <t>Companhia ATUAL</t>
  </si>
  <si>
    <t>Apólice nº</t>
  </si>
  <si>
    <t>Vencimento</t>
  </si>
  <si>
    <t>SOMA ATUAL</t>
  </si>
  <si>
    <t>Prémio anual ATUAL</t>
  </si>
  <si>
    <t>Prémio anual PROPOSTO</t>
  </si>
  <si>
    <t>Edifícios</t>
  </si>
  <si>
    <t>Bens móveis</t>
  </si>
  <si>
    <t>Seguros técnicos</t>
  </si>
  <si>
    <t>Incêndio/Natureza</t>
  </si>
  <si>
    <t>Perda de exploração</t>
  </si>
  <si>
    <t>Danos consequentes</t>
  </si>
  <si>
    <t>Transportes (bens)</t>
  </si>
  <si>
    <t>Transportes (RC)</t>
  </si>
  <si>
    <t>Empresa</t>
  </si>
  <si>
    <t>Profissional</t>
  </si>
  <si>
    <t>Responsabilidade predial</t>
  </si>
  <si>
    <t>Extracontratual</t>
  </si>
  <si>
    <t>Contratual</t>
  </si>
  <si>
    <t>Falecimento</t>
  </si>
  <si>
    <t>Invalidez</t>
  </si>
  <si>
    <t>Complementar LAA</t>
  </si>
  <si>
    <t>Indemnização diária por doença</t>
  </si>
  <si>
    <t>Máquinas</t>
  </si>
  <si>
    <t>Montagem</t>
  </si>
  <si>
    <t>Casco máquinas</t>
  </si>
  <si>
    <t>Seguro cibernético</t>
  </si>
  <si>
    <t>Instalações IT/EDP</t>
  </si>
  <si>
    <t>Acidentes de clientes</t>
  </si>
  <si>
    <t>Diferença</t>
  </si>
  <si>
    <t>Анализ деятельности МСП</t>
  </si>
  <si>
    <t>Тип риска</t>
  </si>
  <si>
    <t>Страховое покрытие</t>
  </si>
  <si>
    <t>Максимальный риск</t>
  </si>
  <si>
    <t>ТЕКУЩАЯ Компания</t>
  </si>
  <si>
    <t>№ Полиса</t>
  </si>
  <si>
    <t>Срок действия</t>
  </si>
  <si>
    <t>ТЕКУЩАЯ СУММА</t>
  </si>
  <si>
    <t>ПРЕДЛОЖЕННАЯ СУММА</t>
  </si>
  <si>
    <t>ТЕКУЩАЯ ГОДОВАЯ ПРЕМИЯ</t>
  </si>
  <si>
    <t>ПРЕДЛОЖЕННАЯ ГОДОВАЯ ПРЕМИЯ</t>
  </si>
  <si>
    <t>Здания</t>
  </si>
  <si>
    <t>Движимое имущество</t>
  </si>
  <si>
    <t>Техническое страхование</t>
  </si>
  <si>
    <t>Пожар/Стихийные бедствия</t>
  </si>
  <si>
    <t>Ущерб от воды</t>
  </si>
  <si>
    <t>Разбитие стекла</t>
  </si>
  <si>
    <t>Утрата прибыли</t>
  </si>
  <si>
    <t>Косвенный ущерб</t>
  </si>
  <si>
    <t>Транспортировка (грузы)</t>
  </si>
  <si>
    <t>Транспортировка (ОС)</t>
  </si>
  <si>
    <t>Предприятие</t>
  </si>
  <si>
    <t>Профессиональное</t>
  </si>
  <si>
    <t>Ответственность за здания</t>
  </si>
  <si>
    <t>Внеконтрактная</t>
  </si>
  <si>
    <t>Контрактная</t>
  </si>
  <si>
    <t>Смерть</t>
  </si>
  <si>
    <t>Инвалидность</t>
  </si>
  <si>
    <t>Дополнение к LAA</t>
  </si>
  <si>
    <t>Пособие по болезни</t>
  </si>
  <si>
    <t>Машины</t>
  </si>
  <si>
    <t>Монтаж</t>
  </si>
  <si>
    <t>Каско для машин</t>
  </si>
  <si>
    <t>Киберстрахование</t>
  </si>
  <si>
    <t>IT/EDP-оборудование</t>
  </si>
  <si>
    <t>Несчастные случаи с клиентами</t>
  </si>
  <si>
    <t>Итог</t>
  </si>
  <si>
    <t>Разница</t>
  </si>
  <si>
    <t>SME Business Analysis</t>
  </si>
  <si>
    <t>Risk Type</t>
  </si>
  <si>
    <t>Insured Coverage</t>
  </si>
  <si>
    <t>Max Risk</t>
  </si>
  <si>
    <t>CURRENT Company</t>
  </si>
  <si>
    <t>Policy No.</t>
  </si>
  <si>
    <t>Expiry</t>
  </si>
  <si>
    <t>CURRENT AMOUNT</t>
  </si>
  <si>
    <t>CURRENT Annual Premium</t>
  </si>
  <si>
    <t>PROPOSED Annual Premium</t>
  </si>
  <si>
    <t>Buildings</t>
  </si>
  <si>
    <t>Movable Assets</t>
  </si>
  <si>
    <t>Technical Insurances</t>
  </si>
  <si>
    <t>Fire/Natural Events</t>
  </si>
  <si>
    <t>Water Damage</t>
  </si>
  <si>
    <t>Glass Breakage</t>
  </si>
  <si>
    <t>Business Interruption</t>
  </si>
  <si>
    <t>Consequential Damage</t>
  </si>
  <si>
    <t>Transport (Goods)</t>
  </si>
  <si>
    <t>Transport (Liability)</t>
  </si>
  <si>
    <t>Enterprise</t>
  </si>
  <si>
    <t>Professional</t>
  </si>
  <si>
    <t>Building Liability</t>
  </si>
  <si>
    <t>Non-Contractual</t>
  </si>
  <si>
    <t>Contractual</t>
  </si>
  <si>
    <t>Death</t>
  </si>
  <si>
    <t>Disability</t>
  </si>
  <si>
    <t>LAA Supplementary</t>
  </si>
  <si>
    <t>Sickness Daily Allowance</t>
  </si>
  <si>
    <t>Assembly</t>
  </si>
  <si>
    <t>Machine Hull</t>
  </si>
  <si>
    <t>Cyber Insurance</t>
  </si>
  <si>
    <t>IT/EDP Installations</t>
  </si>
  <si>
    <t>Customer Accidents</t>
  </si>
  <si>
    <t>Difference</t>
  </si>
  <si>
    <t>Transp.</t>
  </si>
  <si>
    <t>Geschäftsführer/Gesellschafter</t>
  </si>
  <si>
    <t>Responsabilité Civile</t>
  </si>
  <si>
    <t>Protection Juridique</t>
  </si>
  <si>
    <t>Dirigeants/Associés</t>
  </si>
  <si>
    <t>Personnel (employés)</t>
  </si>
  <si>
    <t>Assurances Techniques</t>
  </si>
  <si>
    <t>Divers</t>
  </si>
  <si>
    <t>Responsabilidade Civil</t>
  </si>
  <si>
    <t>Proteção Jurídica</t>
  </si>
  <si>
    <t>Dirigentes/Sócios</t>
  </si>
  <si>
    <t>Funcionários</t>
  </si>
  <si>
    <t>Seguros Técnicos</t>
  </si>
  <si>
    <t>Diversos</t>
  </si>
  <si>
    <t>Трансп.</t>
  </si>
  <si>
    <t>Гражданская ответственность</t>
  </si>
  <si>
    <t>Руководители/участники</t>
  </si>
  <si>
    <t>Сотрудники</t>
  </si>
  <si>
    <t>Прочие</t>
  </si>
  <si>
    <t>Civil Liability</t>
  </si>
  <si>
    <t>Legal Protection</t>
  </si>
  <si>
    <t>Directors/Shareholders</t>
  </si>
  <si>
    <t>Employees</t>
  </si>
  <si>
    <t>Various</t>
  </si>
  <si>
    <t>Angestellte</t>
  </si>
  <si>
    <t>AKTUELLES FINANZRISIKO:</t>
  </si>
  <si>
    <t>RISQUE FINANCIER ACTUEL :</t>
  </si>
  <si>
    <t>SOLUZIONE PROPOSTA:</t>
  </si>
  <si>
    <t>RISCO FINANCEIRO ATUAL:</t>
  </si>
  <si>
    <t>ТЕКУЩИЙ ФИНАНСОВЫЙ РИСК:</t>
  </si>
  <si>
    <t>CURRENT FINANCIAL RISK:</t>
  </si>
  <si>
    <t>Haftpflicht</t>
  </si>
  <si>
    <t>Inventarversicherung</t>
  </si>
  <si>
    <t>Technische Vers.</t>
  </si>
  <si>
    <t>VORGESCHLAGENES FINANZRISIKO:</t>
  </si>
  <si>
    <t>RISQUE FINANCIER PROPOSÉ :</t>
  </si>
  <si>
    <t>RISCO FINANCEIRO PROPOSTO:</t>
  </si>
  <si>
    <t>ФИНАНСОВЫЙ РИСК ПРЕДЛОЖЕННЫЙ:</t>
  </si>
  <si>
    <t>PROPOSED FINANCIAL RISK:</t>
  </si>
  <si>
    <t>Tipo di azienda</t>
  </si>
  <si>
    <t>Ragione sociale</t>
  </si>
  <si>
    <t>Codice NOGA</t>
  </si>
  <si>
    <t>Contratto collettivo?</t>
  </si>
  <si>
    <t>Indirizzo Azienda</t>
  </si>
  <si>
    <t>Luogo di Rischio principale</t>
  </si>
  <si>
    <t>Altri luoghi di rischio</t>
  </si>
  <si>
    <t>• RISIKEN DER GESCHÄFTSFÜHRER, GESELLSCHAFTER UND VERWALTER: Absicherung der Gläubiger und/oder des Fortbestands des Unternehmens im Falle des Todes oder der Arbeitsunfähigkeit von Schlüsselpersonen</t>
  </si>
  <si>
    <t>• UMSATZRISIKO: Schwierigkeiten beim Einzug von Forderungen im Falle des Ausfalls eines Auftraggebers, langwierige Inkassoverfahren oder rechtliche Streitigkeiten</t>
  </si>
  <si>
    <t>• FINANZIELLE RISIKEN: Optimierung der Finanzierbarkeit des Unternehmens bei Liquiditätsbedarf / Anträge auf Finanzierung durch Unternehmens-, Privat- und/oder Hypothekendarlehen, Factoring, Crowdfunding, Private Equity, Tokenisierung, Venture Capital</t>
  </si>
  <si>
    <t>• VERMÖGENSRISIKEN: Im Falle von Haftpflichtansprüchen, Rechtsstreitigkeiten oder indirekten Vermögensschäden</t>
  </si>
  <si>
    <t>• RISIKEN DES FAHRZEUGBESTANDS: Risiken im Fuhrpark</t>
  </si>
  <si>
    <t>• RISIKEN AN MOBILIAR, AUSRÜSTUNG, LAGER, ANLAGEN, WAREN: Eigene und/oder fremde Güter im Falle von Brand, Diebstahl, Wasserschäden usw.</t>
  </si>
  <si>
    <t>• TECHNISCHE RISIKEN: Schäden an eigenen und/oder fremden Geräten (fehlerhafte Bedienung, Störungen, Montage- und Demontagefehler, Maschinenstillstand usw.)</t>
  </si>
  <si>
    <t>• IT-RISIKEN: Hacking, Diebstahl, Löschung, Veröffentlichung oder Missbrauch Ihrer Daten oder der Daten Ihrer Kunden</t>
  </si>
  <si>
    <t>• TRANSPORTRISIKEN: Beschädigung, Verlust oder Verzögerung beim Transport von Waren oder Gütern, sowohl von eigenen als auch von Dritten, transportiert vom Unternehmen oder durch Dritte</t>
  </si>
  <si>
    <t>• STEUER- UND BEITRAGSRISIKEN: Liquiditätsverlust durch steuerliche oder beitragsbezogene Probleme, keine Nutzung aller möglichen Steuerabzüge oder keine optimale Beitragsstruktur</t>
  </si>
  <si>
    <t>• VERSICHERUNGSVERWALTUNGSRISIKO: Doppelte Versicherungen oder überhöhte Kosten, Versicherungslücken, unabhängige Unterstützung im Falle von Schäden oder Streitigkeiten</t>
  </si>
  <si>
    <t>• RISQUES DES DIRIGEANTS, ASSOCIÉS ET ADMINISTRATEURS: Garantir les créanciers et/ou la survie de l'entreprise en cas de décès ou d'incapacité de travail de personnes clés</t>
  </si>
  <si>
    <t>• RISQUE DE CHIFFRE D'AFFAIRES: Difficultés d'encaissement en cas de défaillance du client, longues procédures d'encaissement ou litiges juridiques</t>
  </si>
  <si>
    <t>• RISQUES FINANCIERS: Optimisation de la capacité de financement de l'entreprise en cas de besoin de liquidité / Demandes de financement via crédits d'entreprise, privés et/ou hypothécaires, affacturage, financement participatif, private equity, tokenisation, capital-risque</t>
  </si>
  <si>
    <t>• RISQUES PATRIMONIAUX: En cas de réclamations RC, litiges juridiques ou dommages patrimoniaux indirects</t>
  </si>
  <si>
    <t>• RISQUES DU PARC DE VÉHICULES: Risques liés à la flotte de véhicules</t>
  </si>
  <si>
    <t>• RISQUES MOBILIER, ÉQUIPEMENTS, STOCKS, INSTALLATIONS, MARCHANDISES: Biens propres et/ou de tiers en cas d'incendie, vol, dégâts des eaux, etc.</t>
  </si>
  <si>
    <t>• RISQUES TECHNIQUES: Appareils propres et/ou de tiers (mauvaise manipulation, pannes, erreurs de montage/démontage, arrêt de machines, etc.)</t>
  </si>
  <si>
    <t>• RISQUES INFORMATIQUES: Piratage, vol, suppression, publication ou utilisation abusive de vos données ou de celles de vos clients</t>
  </si>
  <si>
    <t>• RISQUES DE TRANSPORT: Dommages, perte ou retard dans le transport de marchandises ou de biens propres ou de tiers, transportés par l'entreprise ou des tiers</t>
  </si>
  <si>
    <t>• RISQUES FISCAUX ET CONTRIBUTIFS: Perte de liquidité due à des problématiques fiscales ou contributives, non-utilisation de toutes les déductions possibles, ou structure contributive non optimale</t>
  </si>
  <si>
    <t>• RISQUE DE GESTION DES ASSURANCES: Doubles assurances ou coûts excessifs, lacunes en couverture, assistance indépendante en cas de sinistres ou litiges</t>
  </si>
  <si>
    <t>• RISCOS DOS DIRIGENTES, SÓCIOS E ADMINISTRADORES: Garantir os credores e/ou a sobrevivência da empresa em caso de morte ou incapacidade laboral de pessoas-chave</t>
  </si>
  <si>
    <t>• RISCO DO FATURAMENTO: Dificuldades de cobrança em caso de falência do cliente, longos processos de cobrança ou disputas legais</t>
  </si>
  <si>
    <t>• RISCOS FINANCEIROS: Otimizar a capacidade de financiamento da empresa em caso de necessidade de liquidez / Pedidos de financiamento através de créditos empresariais, privados e/ou hipotecários, factoring, crowdfunding, private equity, tokenização, capital de risco</t>
  </si>
  <si>
    <t>• RISCOS PATRIMONIAIS: Em caso de reclamações RC, disputas legais ou danos patrimoniais indiretos</t>
  </si>
  <si>
    <t>• RISCOS DA FROTA DE VEÍCULOS: Riscos relacionados à frota de veículos</t>
  </si>
  <si>
    <t>• RISCOS MOBILIÁRIOS, EQUIPAMENTOS, ARMAZÉM, INSTALAÇÕES, MERCADORIAS: Bens próprios e/ou de terceiros em caso de incêndio, roubo, danos por água, etc.</t>
  </si>
  <si>
    <t>• RISCOS TÉCNICOS: Equipamentos próprios e/ou de terceiros (manipulação incorreta, avarias, erros de montagem/desmontagem, paragem de máquinas, etc.)</t>
  </si>
  <si>
    <t>• RISCOS INFORMÁTICOS: Hacking, roubo, exclusão, publicação ou uso indevido de seus dados ou dos dados de seus clientes</t>
  </si>
  <si>
    <t>• RISCOS DE TRANSPORTE: Danos, perda ou atraso no transporte de mercadorias ou bens próprios ou de terceiros, transportados pela empresa ou por terceiros</t>
  </si>
  <si>
    <t>• RISCOS FISCAIS E CONTRIBUTIVOS: Perda de liquidez devido a questões fiscais ou contributivas, não aproveitamento de todas as deduções possíveis ou estrutura contributiva não otimizada</t>
  </si>
  <si>
    <t>• RISCO DA GESTÃO DE SEGUROS: Seguros duplos ou custos excessivos, lacunas na cobertura, assistência independente em caso de sinistros ou disputas</t>
  </si>
  <si>
    <t>• РИСКИ РУКОВОДИТЕЛЕЙ, СОУЧРЕДИТЕЛЕЙ И ДИРЕКТОРОВ: Гарантия кредиторам и/или выживаемость компании в случае смерти или нетрудоспособности ключевых сотрудников</t>
  </si>
  <si>
    <t>• РИСК ОБОРОТА: Трудности с получением платежей в случае банкротства клиента, длительные процедуры взыскания или судебные разбирательства</t>
  </si>
  <si>
    <t>• ФИНАНСОВЫЕ РИСКИ: Оптимизация финансовых возможностей компании в случае необходимости ликвидности / Запросы на финансирование через корпоративные, частные и/или ипотечные кредиты, факторинг, краудфандинг, частный капитал, токенизация, венчурный капитал</t>
  </si>
  <si>
    <t>• РИСКИ АКТИВОВ: В случае претензий по ответственности, судебных разбирательств или косвенного ущерба активам</t>
  </si>
  <si>
    <t>• РИСКИ АВТОПАРКА: Риски, связанные с автопарком</t>
  </si>
  <si>
    <t>• РИСКИ МЕБЕЛИ, ОБОРУДОВАНИЯ, СКЛАДОВ, УСТАНОВОК, ТОВАРОВ: Собственные и/или чужие активы в случае пожара, кражи, повреждения водой и т. д.</t>
  </si>
  <si>
    <t>• ТЕХНИЧЕСКИЕ РИСКИ: Повреждение собственного и/или чужого оборудования (неправильная эксплуатация, поломка, ошибки при сборке/разборке, простой оборудования и т. д.)</t>
  </si>
  <si>
    <t>• ИНФОРМАЦИОННЫЕ РИСКИ: Взлом, кража, удаление, публикация или ненадлежащее использование ваших данных или данных ваших клиентов</t>
  </si>
  <si>
    <t>• ТРАНСПОРТНЫЕ РИСКИ: Повреждение, потеря или задержка при транспортировке товаров или имущества, принадлежащего компании или третьим лицам</t>
  </si>
  <si>
    <t>• НАЛОГОВЫЕ И ВЗНОСОВЫЕ РИСКИ: Потеря ликвидности из-за налоговых или взносовых проблем, неиспользование всех возможных вычетов или неоптимальная структура взносов</t>
  </si>
  <si>
    <t>• РИСК УПРАВЛЕНИЯ СТРАХОВАНИЕМ: Дублирующееся страхование или чрезмерные расходы, пробелы в покрытии, независимая поддержка в случае убытков или споров</t>
  </si>
  <si>
    <t>• EXECUTIVES, PARTNERS AND DIRECTORS RISKS: Ensuring creditors and/or company survival in case of death or work incapacity of key personnel</t>
  </si>
  <si>
    <t>• TURNOVER RISK: Collection difficulties in case of client insolvency, lengthy collection procedures, or legal disputes</t>
  </si>
  <si>
    <t>• FINANCIAL RISKS: Optimizing the company’s financing capabilities in case of liquidity needs / Financing requests through business, private, and/or mortgage loans, factoring, crowdfunding, private equity, tokenization, venture capital</t>
  </si>
  <si>
    <t>• ASSET RISKS: In case of liability claims, legal disputes, or indirect asset damages</t>
  </si>
  <si>
    <t>• FLEET RISKS: Risks related to the vehicle fleet</t>
  </si>
  <si>
    <t>• FURNITURE, EQUIPMENT, WAREHOUSE, PLANTS, GOODS RISKS: Own and/or third-party goods in case of fire, theft, water damage, etc.</t>
  </si>
  <si>
    <t>• TECHNICAL RISKS: Own and/or third-party equipment (misuse, breakdowns, assembly/disassembly errors, machine downtime, etc.)</t>
  </si>
  <si>
    <t>• IT RISKS: Hacking, theft, deletion, publication, or misuse of your data or your clients’ data</t>
  </si>
  <si>
    <t>• TRANSPORT RISKS: Damage, loss, or delays in the transport of goods or own or third-party property</t>
  </si>
  <si>
    <t>• TAX AND CONTRIBUTION RISKS: Loss of liquidity due to tax or contribution-related problems, not taking advantage of all possible deductions, or having a non-optimal contribution setup</t>
  </si>
  <si>
    <t>• INSURANCE MANAGEMENT RISK: Duplicate or excessive insurance costs, coverage gaps, independent assistance in case of claims or disputes</t>
  </si>
  <si>
    <t>• RISCHI DIRIGENTI, SOCI E AMMINISTRATORI: Garantire i creditori e/o la sopravvivenza dell'azienda in caso di decesso o incapacità lavorativa di persone fondamentali per l'azienda</t>
  </si>
  <si>
    <t>• RISCHIO DEL FATTURATO: Difficoltà di incasso in caso di fallimento del committente, lunghe procedure di incasso o cause legali</t>
  </si>
  <si>
    <t>• RISCHI FINANZIARI: Ottimizzare la finanziabilità dell'azienda in caso di necessità di liquidità / Richieste di finanziamento tramite crediti aziendali, privati e/o ipotecari, factoring, crowdfunding, private equity, tokenizzazione, venture capital</t>
  </si>
  <si>
    <t>• RISCHI MOBILIO, ATTREZZATURE, MAGAZZINO, IMPIANTI, MERCI: Propri e/o di terzi in caso di incendio, furto, danni delle acque, ecc.</t>
  </si>
  <si>
    <t>• RISCHI TECNICI: Ad apparecchiature proprie e/o di terzi (errata manipolazione, guasti, montaggio e smontaggio, fermo macchina, ecc.)</t>
  </si>
  <si>
    <t>• RISCHI INFORMATICI: Hackeraggio, furto, cancellazione, pubblicazione o uso improprio dei vostri dati o di quelli dei vostri clienti</t>
  </si>
  <si>
    <t>• RISCHI DI TRASPORTO: Danneggiamento, smarrimento o ritardo nel trasporto di merci o beni propri o di terzi, trasportati dall'azienda stessa o tramite terzi</t>
  </si>
  <si>
    <t>• RISCHI FISCALI E CONTRIBUTIVI: Rischio di perdita di liquidità dovuto a problematiche fiscali o contributive, a non approfittare di tutte le deduzioni possibili, o di non avere l'assetto contributivo più vantaggioso possibile</t>
  </si>
  <si>
    <t>• RISCHIO DELLA GESTIONE ASSICURATIVA: Assicurazioni doppie o a costi eccessivi, lacune assicurative, assistenza indipendente in caso di sinistri o contenziosi</t>
  </si>
  <si>
    <t>Firmenname</t>
  </si>
  <si>
    <t>Unternehmensart</t>
  </si>
  <si>
    <t>Unternehmensadresse</t>
  </si>
  <si>
    <t>Raison sociale</t>
  </si>
  <si>
    <t>Type d’entreprise</t>
  </si>
  <si>
    <t>Adresse de l’entreprise</t>
  </si>
  <si>
    <t>Razão social</t>
  </si>
  <si>
    <t>Tipo de empresa</t>
  </si>
  <si>
    <t>Endereço da empresa</t>
  </si>
  <si>
    <t>Юридическое название</t>
  </si>
  <si>
    <t>Тип компании</t>
  </si>
  <si>
    <t>Адрес компании</t>
  </si>
  <si>
    <t>Company name</t>
  </si>
  <si>
    <t>Type of business</t>
  </si>
  <si>
    <t>Company address</t>
  </si>
  <si>
    <t>• PERSONNEL RISKS: Loss of income in case of illness, accident, disability, and death</t>
  </si>
  <si>
    <t>• РИСКИ ПЕРСОНАЛА: Потеря дохода в случае болезни, несчастного случая, инвалидности и смерти</t>
  </si>
  <si>
    <t>• RISCOS DO PESSOAL: Perda de rendimento em caso de doença, acidente, invalidez e morte</t>
  </si>
  <si>
    <t>• RISQUES DU PERSONNEL: Perte de revenu en cas de maladie, accident, invalidité et décès</t>
  </si>
  <si>
    <t>• PERSONALRISIKEN: Verlust von Einkommen im Falle von Krankheit, Unfall, Invalidität und Tod</t>
  </si>
  <si>
    <t>• RISCHI DEL PERSONALE: Perdita di guadagno in caso di malattia, infortunio, invalidità e decesso</t>
  </si>
  <si>
    <t>N. dipendenti femmine</t>
  </si>
  <si>
    <t>N. dipendenti uomini</t>
  </si>
  <si>
    <t>Volume salari annui Uomini</t>
  </si>
  <si>
    <t>Volume salari annui Donne</t>
  </si>
  <si>
    <t>Soggetto SUVA?</t>
  </si>
  <si>
    <t>Valore dei beni mobili (inventario)</t>
  </si>
  <si>
    <t>Persone chiave per l'azienda</t>
  </si>
  <si>
    <t>Rischio aziendale in caso di decesso persone chiave</t>
  </si>
  <si>
    <t>Merci (prezzo di mercato/prezzo di vendita)</t>
  </si>
  <si>
    <t>Merci destinate alla vendita o al consumo: alimenti, materie prime, beni commerciali, materiali vari (imballi, carburanti, coloranti, prodotti chimici, lubrificanti, grassi, benzina, petrolio, ecc.), pezzi singoli, ricambi e componenti</t>
  </si>
  <si>
    <t>Installazioni (valore a nuovo)</t>
  </si>
  <si>
    <t>Arredi, strutture operative e di stoccaggio, scaffalature, mobili, biancheria, stoviglie, bicchieri, posate, illuminazione, mobili da ufficio, armadi, minuteria, inventario generale dell'ufficio</t>
  </si>
  <si>
    <t>Impianti elettronici (valore a nuovo )</t>
  </si>
  <si>
    <t>Dispositivi informatici, dispositivi di archiviazione, linee di alimentazione e dati, fotocopiatrici, stampanti, ecc.</t>
  </si>
  <si>
    <t>Attrezzatura strutturale (valore a nuovo)</t>
  </si>
  <si>
    <t>Attrezzature appartenenti al contraente, da lui installate in qualità di locatario o proprietario, collegate in modo permanente all'edificio, nella misura in cui non siano assicurate o debbano essere assicurate dall'assicurazione stabili, strutture mobili come fabbricati, container, ecc.</t>
  </si>
  <si>
    <t>Macchinari, utensili (valore a nuovo)</t>
  </si>
  <si>
    <t>Macchinari, apparecchi, dispositivi, utensili, strumenti, veicoli a motore aziendali (senza targa)</t>
  </si>
  <si>
    <t>Veicoli in vendita (prezzo d'acquisto)</t>
  </si>
  <si>
    <t>Veicoli a motore nuovi e usati, rimorchi, roulotte, case mobili, barche e aeromobili con accessori offerti in vendita dall'assicurato.</t>
  </si>
  <si>
    <t>Autoveicoli, rimorchi, macchinari da lavoro semoventi, veicoli elettrici e simili, salvo diversa assicurazione</t>
  </si>
  <si>
    <t>Veicoli aziendali non targati (valore corrente)</t>
  </si>
  <si>
    <t>Proprietà di terzi affidata (prezzo di vendita/d’acquisto)</t>
  </si>
  <si>
    <t>Per elaborazione o stoccaggio, leasing o affitto</t>
  </si>
  <si>
    <t>TOTALE VALORE DI ASSICURAZIONE</t>
  </si>
  <si>
    <t>• RISCHI PATRIMONIALI INDIRETTI: dipendenzeper contratti di fornitura, pene convenzionali e accordi di risarcimento danni</t>
  </si>
  <si>
    <t>• RISCHI PATRIMONIALI DA DANNI COSE: Interruzione di esercizio</t>
  </si>
  <si>
    <t>• RISCHI DEL PARCO VEICOLI PROPRIO: Rischi legati alla gestione della flotta aziendale</t>
  </si>
  <si>
    <t>• RISCHI DEL PARCO VEICOLI DI CLIENTI:</t>
  </si>
  <si>
    <t>• INDIREKTE VERMÖGENSRISIKEN: Abhängigkeiten von Lieferverträgen, Vertragsstrafen und Schadenersatzvereinbarungen</t>
  </si>
  <si>
    <t>• VERMÖGENSRISIKEN AUS SACHSCHÄDEN: Betriebsunterbrechung</t>
  </si>
  <si>
    <t>• RISIKEN IM FAHRZEUGBESTAND DER KUNDEN:</t>
  </si>
  <si>
    <t>• RISQUES PATRIMONIAUX INDIRECTS: Dépendances aux contrats de fourniture, pénalités conventionnelles et accords d'indemnisation</t>
  </si>
  <si>
    <t>• RISQUES PATRIMONIAUX LIÉS AUX DOMMAGES MATÉRIELS: Interruption d'activité</t>
  </si>
  <si>
    <t>• RISQUES LIÉS AU PARC DE VÉHICULES DES CLIENTS:</t>
  </si>
  <si>
    <t>• RISCOS PATRIMONIAIS INDIRETOS: Dependência de contratos de fornecimento, penalidades convencionais e acordos de compensação de danos</t>
  </si>
  <si>
    <t>• RISCOS PATRIMONIAIS POR DANOS MATERIAIS: Interrupção de atividade</t>
  </si>
  <si>
    <t>• RISCOS RELACIONADOS À FROTA DE VEÍCULOS DOS CLIENTES:</t>
  </si>
  <si>
    <t>• КОСВЕННЫЕ РИСКИ АКТИВОВ: Зависимость от договоров поставки, договорные штрафы и соглашения о возмещении убытков</t>
  </si>
  <si>
    <t>• РИСКИ АКТИВОВ ОТ УЩЕРБА ИМУЩЕСТВУ: Прерывание деятельности</t>
  </si>
  <si>
    <t>• РИСКИ, СВЯЗАННЫЕ С АВТОПАРКОМ КЛИЕНТОВ:</t>
  </si>
  <si>
    <t>• INDIRECT ASSET RISKS: Dependencies on supply contracts, contractual penalties, and compensation agreements</t>
  </si>
  <si>
    <t>• ASSET RISKS FROM PROPERTY DAMAGE: Business interruption</t>
  </si>
  <si>
    <t>• RISKS RELATED TO CLIENT VEHICLE FLEETS:</t>
  </si>
  <si>
    <t>NOGA-Code</t>
  </si>
  <si>
    <t>Kollektivvertrag?</t>
  </si>
  <si>
    <t>SUVA-Pflichtig?</t>
  </si>
  <si>
    <t>Anzahl männlicher Mitarbeiter</t>
  </si>
  <si>
    <t>Anzahl weiblicher Mitarbeiter</t>
  </si>
  <si>
    <t>Jährliche Lohnsumme Männer</t>
  </si>
  <si>
    <t>Jährliche Lohnsumme Frauen</t>
  </si>
  <si>
    <t>Hauptstandort des Risikos</t>
  </si>
  <si>
    <t>Andere Risikostandorte</t>
  </si>
  <si>
    <t>Wert des beweglichen Eigentums (Inventar)</t>
  </si>
  <si>
    <t>Waren (Marktpreis/Verkaufspreis)</t>
  </si>
  <si>
    <t>Waren zum Verkauf oder Verbrauch bestimmt: Lebensmittel, Rohstoffe, Handelswaren, verschiedene Materialien (Verpackungen, Kraftstoffe, Farbstoffe, Chemikalien, Schmiermittel, Fette, Benzin, Öl usw.), Einzelteile, Ersatzteile und Komponenten</t>
  </si>
  <si>
    <t>Installationen (Neuwert)</t>
  </si>
  <si>
    <t>Möbel, Betriebseinrichtungen und Lagerstrukturen, Regale, Mobiliar, Wäsche, Geschirr, Gläser, Besteck, Beleuchtung, Büromöbel, Schränke, Kleinteile, allgemeines Büroinventar</t>
  </si>
  <si>
    <t>Elektronische Anlagen (Neuwert)</t>
  </si>
  <si>
    <t>IT-Geräte, Speichereinheiten, Energie- und Datenleitungen, Kopierer, Drucker usw.</t>
  </si>
  <si>
    <t>Strukturelle Ausrüstung (Neuwert)</t>
  </si>
  <si>
    <t>Vom Versicherungsnehmer installierte Geräte, die als Mieter oder Eigentümer fest mit dem Gebäude verbunden sind, soweit sie nicht über eine Gebäudeversicherung versichert sind oder versichert werden müssen; mobile Strukturen wie Gebäude, Container usw.</t>
  </si>
  <si>
    <t>Maschinen, Werkzeuge (Neuwert)</t>
  </si>
  <si>
    <t>Maschinen, Geräte, Werkzeuge, Instrumente, Firmenfahrzeuge ohne Kennzeichen</t>
  </si>
  <si>
    <t>Fahrzeuge im Verkauf (Ankaufspreis)</t>
  </si>
  <si>
    <t>Neue und gebrauchte Kraftfahrzeuge, Anhänger, Wohnwagen, Mobilheime, Boote und Flugzeuge mit Zubehör, die vom Versicherten verkauft werden</t>
  </si>
  <si>
    <t>Firmenfahrzeuge ohne Kennzeichen (aktueller Wert)</t>
  </si>
  <si>
    <t>Kraftfahrzeuge, Anhänger, selbstfahrende Arbeitsmaschinen, Elektrofahrzeuge usw., es sei denn, sie sind anderweitig versichert</t>
  </si>
  <si>
    <t>Fremdeigentum (Verkaufs-/Kaufpreis)</t>
  </si>
  <si>
    <t>Zur Bearbeitung oder Lagerung, Leasing oder Miete</t>
  </si>
  <si>
    <t>GESAMT-VERSICHERUNGSWERT</t>
  </si>
  <si>
    <t>Schlüsselpersonen für das Unternehmen</t>
  </si>
  <si>
    <t>Unternehmensrisiko im Falle des Todes von Schlüsselpersonen</t>
  </si>
  <si>
    <t>Code NOGA</t>
  </si>
  <si>
    <t>Contrat collectif?</t>
  </si>
  <si>
    <t>Sujet à la SUVA?</t>
  </si>
  <si>
    <t>Nombre d’employés hommes</t>
  </si>
  <si>
    <t>Nombre d’employés femmes</t>
  </si>
  <si>
    <t>Masse salariale annuelle Hommes</t>
  </si>
  <si>
    <t>Masse salariale annuelle Femmes</t>
  </si>
  <si>
    <t>Lieu de risque principal</t>
  </si>
  <si>
    <t>Autres lieux de risque</t>
  </si>
  <si>
    <t>Valeur des biens mobiliers (inventaire)</t>
  </si>
  <si>
    <t>Marchandises (prix du marché/prix de vente)</t>
  </si>
  <si>
    <t>Marchandises destinées à la vente ou à la consommation : aliments, matières premières, biens commerciaux, divers matériaux (emballages, carburants, colorants, produits chimiques, lubrifiants, graisses, essence, pétrole, etc.), pièces uniques, pièces détachées et composants</t>
  </si>
  <si>
    <t>Installations (valeur à neuf)</t>
  </si>
  <si>
    <t>Meubles, structures opérationnelles et de stockage, étagères, mobilier, linge, vaisselle, verres, couverts, éclairage, mobilier de bureau, armoires, fournitures diverses, inventaire général du bureau</t>
  </si>
  <si>
    <t>Installations électroniques (valeur à neuf)</t>
  </si>
  <si>
    <t>Équipements informatiques, dispositifs de stockage, lignes d'alimentation et de données, photocopieurs, imprimantes, etc.</t>
  </si>
  <si>
    <t>Équipement structurel (valeur à neuf)</t>
  </si>
  <si>
    <t>Équipements appartenant au preneur d’assurance, installés en tant que locataire ou propriétaire, reliés de façon permanente au bâtiment, dans la mesure où ils ne sont pas couverts ou ne doivent pas être couverts par l’assurance des bâtiments, structures mobiles comme bâtiments préfabriqués, conteneurs, etc.</t>
  </si>
  <si>
    <t>Machines, outils (valeur à neuf)</t>
  </si>
  <si>
    <t>Machines, appareils, dispositifs, outils, instruments, véhicules d’entreprise sans plaque d’immatriculation</t>
  </si>
  <si>
    <t>Véhicules en vente (prix d’achat)</t>
  </si>
  <si>
    <t>Véhicules à moteur neufs et d’occasion, remorques, caravanes, maisons mobiles, bateaux et avions avec accessoires proposés à la vente par l’assuré</t>
  </si>
  <si>
    <t>Véhicules d’entreprise non immatriculés (valeur actuelle)</t>
  </si>
  <si>
    <t>Véhicules à moteur, remorques, machines automotrices, véhicules électriques, etc., sauf assurance différente</t>
  </si>
  <si>
    <t>Propriété de tiers confiée (prix de vente/achat)</t>
  </si>
  <si>
    <t>Pour transformation ou stockage, location ou prêt</t>
  </si>
  <si>
    <t>VALEUR TOTALE ASSURÉE</t>
  </si>
  <si>
    <t>Personnes clés pour l’entreprise</t>
  </si>
  <si>
    <t>Risque d’entreprise en cas de décès des personnes clés</t>
  </si>
  <si>
    <t>Contrato coletivo?</t>
  </si>
  <si>
    <t>Sujeito à SUVA?</t>
  </si>
  <si>
    <t>N. de funcionários homens</t>
  </si>
  <si>
    <t>N. de funcionárias mulheres</t>
  </si>
  <si>
    <t>Volume salarial anual Homens</t>
  </si>
  <si>
    <t>Volume salarial anual Mulheres</t>
  </si>
  <si>
    <t>Local de risco principal</t>
  </si>
  <si>
    <t>Outros locais de risco</t>
  </si>
  <si>
    <t>Valor dos bens móveis (inventário)</t>
  </si>
  <si>
    <t>Mercadorias (preço de mercado/preço de venda)</t>
  </si>
  <si>
    <t>Mercadorias destinadas à venda ou consumo: alimentos, matérias-primas, bens comerciais, materiais diversos (embalagens, combustíveis, corantes, produtos químicos, lubrificantes, graxas, gasolina, petróleo, etc.), peças individuais, peças de reposição e componentes</t>
  </si>
  <si>
    <t>Instalações (valor novo)</t>
  </si>
  <si>
    <t>Móveis, estruturas operacionais e de armazenamento, estantes, mobília, roupas de cama, louças, copos, talheres, iluminação, móveis de escritório, armários, itens diversos, inventário geral do escritório</t>
  </si>
  <si>
    <t>Instalações eletrônicas (valor novo)</t>
  </si>
  <si>
    <t>Dispositivos de informática, dispositivos de armazenamento, linhas de alimentação e dados, fotocopiadoras, impressoras, etc.</t>
  </si>
  <si>
    <t>Equipamento estrutural (valor novo)</t>
  </si>
  <si>
    <t>Equipamentos pertencentes ao contratante, instalados por ele como locatário ou proprietário, conectados permanentemente ao edifício, desde que não estejam segurados ou não precisem ser segurados pelo seguro do imóvel, estruturas móveis como edifícios pré-fabricados, contêineres, etc.</t>
  </si>
  <si>
    <t>Máquinas, ferramentas (valor novo)</t>
  </si>
  <si>
    <t>Máquinas, aparelhos, dispositivos, ferramentas, instrumentos, veículos motorizados empresariais (sem placas)</t>
  </si>
  <si>
    <t>Veículos para venda (preço de compra)</t>
  </si>
  <si>
    <t>Veículos novos e usados, reboques, trailers, casas móveis, barcos e aeronaves com acessórios oferecidos para venda pelo segurado</t>
  </si>
  <si>
    <t>Veículos empresariais sem placas (valor atual)</t>
  </si>
  <si>
    <t>Veículos motorizados, reboques, máquinas autopropelidas, veículos elétricos e similares, salvo outra cobertura de seguro</t>
  </si>
  <si>
    <t>Propriedade de terceiros confiada (preço de venda/compra)</t>
  </si>
  <si>
    <t>Para processamento ou armazenamento, leasing ou aluguel</t>
  </si>
  <si>
    <t>VALOR TOTAL DO SEGURO</t>
  </si>
  <si>
    <t>Pessoas-chave para a empresa: Diretores, administradores e outras figuras estratégicas importantes para a atividade empresarial</t>
  </si>
  <si>
    <t>Risco empresarial em caso de falecimento de pessoas-chave</t>
  </si>
  <si>
    <t>Код NOGA</t>
  </si>
  <si>
    <t>Коллективный договор?</t>
  </si>
  <si>
    <t>Субъект SUVA?</t>
  </si>
  <si>
    <t>Количество сотрудников-мужчин</t>
  </si>
  <si>
    <t>Количество сотрудниц-женщин</t>
  </si>
  <si>
    <t>Ежегодный объем заработной платы мужчин</t>
  </si>
  <si>
    <t>Ежегодный объем заработной платы женщин</t>
  </si>
  <si>
    <t>Основное место риска</t>
  </si>
  <si>
    <t>Другие места риска</t>
  </si>
  <si>
    <t>Стоимость движимого имущества (инвентарь)</t>
  </si>
  <si>
    <t>Товары (рыночная цена/цена продажи)</t>
  </si>
  <si>
    <t>Товары, предназначенные для продажи или потребления: продукты питания, сырье, торговые товары, различные материалы (упаковка, топливо, красители, химикаты, смазочные материалы, жиры, бензин, нефть и т. д.), отдельные детали, запчасти и компоненты</t>
  </si>
  <si>
    <t>Установки (новая стоимость)</t>
  </si>
  <si>
    <t>Мебель, операционные и складские конструкции, стеллажи, мебель, белье, посуда, стаканы, столовые приборы, освещение, офисная мебель, шкафы, мелкие предметы, общий офисный инвентарь</t>
  </si>
  <si>
    <t>Электронные установки (новая стоимость)</t>
  </si>
  <si>
    <t>Компьютерные устройства, устройства хранения, линии питания и передачи данных, копировальные аппараты, принтеры и т. д.</t>
  </si>
  <si>
    <t>Структурное оборудование (новая стоимость)</t>
  </si>
  <si>
    <t>Оборудование, принадлежащее страхователю, установленное им в качестве арендатора или собственника, постоянно подключенное к зданию, если оно не застраховано или не должно быть застраховано страхованием здания; мобильные конструкции, такие как сборные здания, контейнеры и т. д.</t>
  </si>
  <si>
    <t>Машины, инструменты (новая стоимость)</t>
  </si>
  <si>
    <t>Машины, приборы, устройства, инструменты, инструментарий, служебные автомобили без номеров</t>
  </si>
  <si>
    <t>Транспортные средства на продажу (цена покупки)</t>
  </si>
  <si>
    <t>Новые и подержанные транспортные средства, прицепы, караваны, мобильные дома, лодки и самолеты с аксессуарами, предлагаемые на продажу страхователем</t>
  </si>
  <si>
    <t>Служебные автомобили без номеров (текущая стоимость)</t>
  </si>
  <si>
    <t>Автомобили, прицепы, самоходные машины, электромобили и аналогичные, если не застрахованы иным образом</t>
  </si>
  <si>
    <t>Имущество третьих лиц (цена продажи/покупки)</t>
  </si>
  <si>
    <t>Для обработки или хранения, аренды или лизинга</t>
  </si>
  <si>
    <t>ОБЩАЯ СТОИМОСТЬ СТРАХОВАНИЯ</t>
  </si>
  <si>
    <t>Ключевые фигуры для компании: Директора, администраторы и другие стратегически важные лица для бизнеса</t>
  </si>
  <si>
    <t>Риск для компании в случае смерти ключевых фигур</t>
  </si>
  <si>
    <t>NOGA Code</t>
  </si>
  <si>
    <t>Collective contract?</t>
  </si>
  <si>
    <t>Subject to SUVA?</t>
  </si>
  <si>
    <t>Number of male employees</t>
  </si>
  <si>
    <t>Number of female employees</t>
  </si>
  <si>
    <t>Annual salary volume for men</t>
  </si>
  <si>
    <t>Annual salary volume for women</t>
  </si>
  <si>
    <t>Primary risk location</t>
  </si>
  <si>
    <t>Other risk locations</t>
  </si>
  <si>
    <t>Value of movable property (inventory)</t>
  </si>
  <si>
    <t>Goods (market price/selling price)</t>
  </si>
  <si>
    <t>Goods intended for sale or consumption: food, raw materials, commercial goods, various materials (packaging, fuels, dyes, chemicals, lubricants, greases, gasoline, oil, etc.), single pieces, spare parts, and components</t>
  </si>
  <si>
    <t>Installations (new value)</t>
  </si>
  <si>
    <t>Furniture, operational and storage structures, shelves, furniture, linen, dishes, glasses, cutlery, lighting, office furniture, cabinets, small items, general office inventory</t>
  </si>
  <si>
    <t>Electronic installations (new value)</t>
  </si>
  <si>
    <t>IT devices, storage devices, power and data lines, photocopiers, printers, etc.</t>
  </si>
  <si>
    <t>Structural equipment (new value)</t>
  </si>
  <si>
    <t>Equipment belonging to the policyholder, installed as a tenant or owner, permanently connected to the building, provided it is not insured or does not need to be insured by the building insurance, mobile structures such as prefabricated buildings, containers, etc.</t>
  </si>
  <si>
    <t>Machinery, tools (new value)</t>
  </si>
  <si>
    <t>Machinery, appliances, devices, tools, instruments, company motor vehicles (without license plates)</t>
  </si>
  <si>
    <t>Vehicles for sale (purchase price)</t>
  </si>
  <si>
    <t>New and used motor vehicles, trailers, caravans, mobile homes, boats, and aircraft with accessories offered for sale by the insured</t>
  </si>
  <si>
    <t>Company vehicles without license plates (current value)</t>
  </si>
  <si>
    <t>Motor vehicles, trailers, self-propelled machines, electric vehicles, and similar, unless otherwise insured</t>
  </si>
  <si>
    <t>Third-party property entrusted (selling/purchase price)</t>
  </si>
  <si>
    <t>For processing or storage, leasing, or rental</t>
  </si>
  <si>
    <t>TOTAL INSURANCE VALUE</t>
  </si>
  <si>
    <t>Key persons for the company: Directors, administrators, and other strategically important figures for the company’s activities</t>
  </si>
  <si>
    <t>Business risk in case of death of key persons</t>
  </si>
  <si>
    <t>Ditta individuale</t>
  </si>
  <si>
    <t>Società in nome collettivo</t>
  </si>
  <si>
    <t>Società in accomandita</t>
  </si>
  <si>
    <t>Società anonima</t>
  </si>
  <si>
    <t>Società a garanzia limitata</t>
  </si>
  <si>
    <t>Società cooperativa</t>
  </si>
  <si>
    <t>Succursale</t>
  </si>
  <si>
    <t>Associazione</t>
  </si>
  <si>
    <t>Fondazione</t>
  </si>
  <si>
    <t>Einzelfirma</t>
  </si>
  <si>
    <t>Kollektivgesellschaft</t>
  </si>
  <si>
    <t>Kommanditgesellschaft</t>
  </si>
  <si>
    <t>Aktiengesellschaft</t>
  </si>
  <si>
    <t>Gesellschaft mit beschränkter Haftung</t>
  </si>
  <si>
    <t>Genossenschaft</t>
  </si>
  <si>
    <t>Zweigniederlassung</t>
  </si>
  <si>
    <t>Verein</t>
  </si>
  <si>
    <t>Stiftung</t>
  </si>
  <si>
    <t>Entreprise individuelle</t>
  </si>
  <si>
    <t>Société en nom collectif</t>
  </si>
  <si>
    <t>Société en commandite</t>
  </si>
  <si>
    <t>Société anonyme</t>
  </si>
  <si>
    <t>Société à responsabilité limitée</t>
  </si>
  <si>
    <t>Société coopérative</t>
  </si>
  <si>
    <t>Association</t>
  </si>
  <si>
    <t>Fondation</t>
  </si>
  <si>
    <t>Empresário individual</t>
  </si>
  <si>
    <t>Sociedade em nome coletivo</t>
  </si>
  <si>
    <t>Sociedade em comandita</t>
  </si>
  <si>
    <t>Sociedade anônima</t>
  </si>
  <si>
    <t>Sociedade de responsabilidade limitada</t>
  </si>
  <si>
    <t>Cooperativa</t>
  </si>
  <si>
    <t>Filial</t>
  </si>
  <si>
    <t>Associação</t>
  </si>
  <si>
    <t>Fundação</t>
  </si>
  <si>
    <t>Индивидуальное предприятие</t>
  </si>
  <si>
    <t>Полное товарищество</t>
  </si>
  <si>
    <t>Коммандитное товарищество</t>
  </si>
  <si>
    <t>Акционерное общество</t>
  </si>
  <si>
    <t>Общество с ограниченной ответственностью</t>
  </si>
  <si>
    <t>Кооператив</t>
  </si>
  <si>
    <t>Филиал</t>
  </si>
  <si>
    <t>Ассоциация</t>
  </si>
  <si>
    <t>Фонд</t>
  </si>
  <si>
    <t>Sole proprietorship</t>
  </si>
  <si>
    <t>General partnership</t>
  </si>
  <si>
    <t>Limited partnership</t>
  </si>
  <si>
    <t>Corporation</t>
  </si>
  <si>
    <t>Limited liability company</t>
  </si>
  <si>
    <t>Cooperative</t>
  </si>
  <si>
    <t>Branch</t>
  </si>
  <si>
    <t>Foundation</t>
  </si>
  <si>
    <t>ARGOMENTO</t>
  </si>
  <si>
    <t>THEMA</t>
  </si>
  <si>
    <t>NOTIZEN</t>
  </si>
  <si>
    <t>SUJET</t>
  </si>
  <si>
    <t>REMARQUES</t>
  </si>
  <si>
    <t>ASSUNTO</t>
  </si>
  <si>
    <t>NOTAS</t>
  </si>
  <si>
    <t>ТЕМА</t>
  </si>
  <si>
    <t>ЗАМЕТКИ</t>
  </si>
  <si>
    <t>TOPIC</t>
  </si>
  <si>
    <t>NOTES</t>
  </si>
  <si>
    <t>TIPOLOGIA DI BENE</t>
  </si>
  <si>
    <t>VALORE</t>
  </si>
  <si>
    <t>ART DES GUTES</t>
  </si>
  <si>
    <t>WERT</t>
  </si>
  <si>
    <t>TYPE DE BIEN</t>
  </si>
  <si>
    <t>VALEUR</t>
  </si>
  <si>
    <t>TIPO DE BEM</t>
  </si>
  <si>
    <t>VALOR</t>
  </si>
  <si>
    <t>ТИП ИМУЩЕСТВА</t>
  </si>
  <si>
    <t>СТОИМОСТЬ</t>
  </si>
  <si>
    <t>TYPE OF ASSET</t>
  </si>
  <si>
    <t>VALUE</t>
  </si>
  <si>
    <t>COPERTURE ESISTENTI E DESIDERATE</t>
  </si>
  <si>
    <t>BESTEHENDE UND GEWÜNSCHTE DECKUNGEN</t>
  </si>
  <si>
    <t>COUVERTURES EXISTANTES ET SOUHAITÉES</t>
  </si>
  <si>
    <t>COBERTURAS EXISTENTES E DESEJADAS</t>
  </si>
  <si>
    <t>СУЩЕСТВУЮЩИЕ И ЖЕЛАЕМЫЕ ПОКРЫТИЯ</t>
  </si>
  <si>
    <t>XISTING AND DESIRED COVERAGES</t>
  </si>
  <si>
    <t xml:space="preserve">PMI </t>
  </si>
  <si>
    <t xml:space="preserve">KMU </t>
  </si>
  <si>
    <t xml:space="preserve">PME </t>
  </si>
  <si>
    <t xml:space="preserve">МСП </t>
  </si>
  <si>
    <t xml:space="preserve">SME </t>
  </si>
  <si>
    <t>VORGESCHL. Jahresprämie</t>
  </si>
  <si>
    <t>AKTUELLE Summe</t>
  </si>
  <si>
    <t>VORGESCHL. Summe</t>
  </si>
  <si>
    <t>VALORI IMMOBILIARI</t>
  </si>
  <si>
    <t>IMMOBILIENWERTE</t>
  </si>
  <si>
    <t>VALEURS IMMOBILIÈRES</t>
  </si>
  <si>
    <t>VALORES IMOBILIÁRIOS</t>
  </si>
  <si>
    <t>НЕДВИЖИМОЕ ИМУЩЕСТВО</t>
  </si>
  <si>
    <t>REAL ESTATE VALUES</t>
  </si>
  <si>
    <t>ALTRO</t>
  </si>
  <si>
    <t>SONSTIGES</t>
  </si>
  <si>
    <t>OUTROS</t>
  </si>
  <si>
    <t>ОБЩИЕ ЗАМЕЧАНИЯ</t>
  </si>
  <si>
    <t>SPECIFICHE AZIENDALI PER QUESTO RISCHIO</t>
  </si>
  <si>
    <t>UNTERNEHMENSSPEZIFIKATIONEN FÜR DIESEN RISIKO</t>
  </si>
  <si>
    <t>SPÉCIFICATIONS ENTREPRISE POUR CE RISQUE</t>
  </si>
  <si>
    <t>ESPECIFICAÇÕES EMPRESARIAIS PARA ESTE RISCO</t>
  </si>
  <si>
    <t>СПЕЦИФИКАЦИЯ КОМПАНИИ ПО ЭТОМУ РИСКУ</t>
  </si>
  <si>
    <t>COMPANY SPECIFICS FOR THIS RISK</t>
  </si>
  <si>
    <t>RISCHI IMMOBILIARI: (Immobili aziendali ad uso proprio, in affitto, in costruzione; rischi di base, rischi patrimoniali, rischi finanziari, alternative di finanziamento)</t>
  </si>
  <si>
    <t>IMMOBILIENRISIKEN: (Betriebsimmobilien zur Eigennutzung, zur Miete, im Bau; Basisrisiken, Vermögensrisiken, Finanzrisiken, Finanzierungsalternativen)</t>
  </si>
  <si>
    <t>RISQUES IMMOBILIERS : (Immeubles d’entreprise à usage propre, en location, en construction ; risques de base, risques patrimoniaux, risques financiers, alternatives de financement)</t>
  </si>
  <si>
    <t>RISCOS IMOBILIÁRIOS: (Imóveis empresariais para uso próprio, alugados, em construção; riscos básicos, riscos patrimoniais, riscos financeiros, alternativas de financiamento)</t>
  </si>
  <si>
    <t>РИСКИ НЕДВИЖИМОСТИ: (Коммерческая недвижимость для собственного использования, в аренде, в строительстве; базовые риски, имущественные риски, финансовые риски, альтернативы финансирования)</t>
  </si>
  <si>
    <t>REAL ESTATE RISKS: (Corporate properties for own use, rented, under construction; basic risks, asset risks, financial risks, financing alternatives)</t>
  </si>
  <si>
    <t>GARANZIE / IPOTECHE</t>
  </si>
  <si>
    <t>HYPOTHEKARISCHE SICHERHEITEN / GRUNDSCHULDEN</t>
  </si>
  <si>
    <t>GARANTIES HYPOTHÉCAIRES / HYPOTHÈQUES</t>
  </si>
  <si>
    <t>GARANTIAS HIPOTECÁRIAS / HIPOTECAS</t>
  </si>
  <si>
    <t>ИПОТЕЧНЫЕ ГАРАНТИИ / ЗАЛОГИ</t>
  </si>
  <si>
    <t>MORTGAGE GUARANTEES / LIENS</t>
  </si>
  <si>
    <t>FLOTTA VEICOLI</t>
  </si>
  <si>
    <t>TIPOLOGIA DI VEICOLO</t>
  </si>
  <si>
    <t>TIPOLOGIA UTILIZZO</t>
  </si>
  <si>
    <t>TARGATO</t>
  </si>
  <si>
    <t>NON TARGATO</t>
  </si>
  <si>
    <t>MARCA E MODELLO</t>
  </si>
  <si>
    <t>CERTIFICATO TIPO</t>
  </si>
  <si>
    <t>MATRICOLA</t>
  </si>
  <si>
    <t>PRIMA MESSA IN CIRCOLAZIONE</t>
  </si>
  <si>
    <t>KM ANNO</t>
  </si>
  <si>
    <t>COPERTURA ATTUALE</t>
  </si>
  <si>
    <t>COPERTURA DESIDERATA</t>
  </si>
  <si>
    <t>FAHRZEUGFLOTTE</t>
  </si>
  <si>
    <t>FAHRZEUGTYP</t>
  </si>
  <si>
    <t>NUTZUNGSART</t>
  </si>
  <si>
    <t>ZUGELASSEN</t>
  </si>
  <si>
    <t>NICHT ZUGELASSEN</t>
  </si>
  <si>
    <t>MARKE UND MODELL</t>
  </si>
  <si>
    <t>TYPENZERTIFIKAT</t>
  </si>
  <si>
    <t>SERIENNUMMER</t>
  </si>
  <si>
    <t>ERSTZULASSUNG</t>
  </si>
  <si>
    <t>KM PRO JAHR</t>
  </si>
  <si>
    <t>AKTUELLE DECKUNG</t>
  </si>
  <si>
    <t>GEWÜNSCHTE DECKUNG</t>
  </si>
  <si>
    <t>FLOTTE DE VÉHICULES</t>
  </si>
  <si>
    <t>TYPE DE VÉHICULE</t>
  </si>
  <si>
    <t>TYPE D’UTILISATION</t>
  </si>
  <si>
    <t>IMMATRICULÉ</t>
  </si>
  <si>
    <t>NON IMMATRICULÉ</t>
  </si>
  <si>
    <t>MARQUE ET MODÈLE</t>
  </si>
  <si>
    <t>CERTIFICAT DE TYPE</t>
  </si>
  <si>
    <t>NUMÉRO DE SÉRIE</t>
  </si>
  <si>
    <t>PREMIÈRE MISE EN CIRCULATION</t>
  </si>
  <si>
    <t>KM PAR AN</t>
  </si>
  <si>
    <t>COUVERTURE ACTUELLE</t>
  </si>
  <si>
    <t>COUVERTURE SOUHAITÉE</t>
  </si>
  <si>
    <t>FROTA DE VEÍCULOS</t>
  </si>
  <si>
    <t>TIPO DE VEÍCULO</t>
  </si>
  <si>
    <t>TIPO DE UTILIZAÇÃO</t>
  </si>
  <si>
    <t>MATRICULADO</t>
  </si>
  <si>
    <t>NÃO MATRICULADO</t>
  </si>
  <si>
    <t>MARCA E MODELO</t>
  </si>
  <si>
    <t>CERTIFICADO DE TIPO</t>
  </si>
  <si>
    <t>NÚMERO DE SÉRIE</t>
  </si>
  <si>
    <t>PRIMEIRO REGISTRO</t>
  </si>
  <si>
    <t>KM POR ANO</t>
  </si>
  <si>
    <t>COBERTURA ATUAL</t>
  </si>
  <si>
    <t>COBERTURA DESEJADA</t>
  </si>
  <si>
    <t>АВТОПАРК</t>
  </si>
  <si>
    <t>ТИП ТРАНСПОРТНОГО СРЕДСТВА</t>
  </si>
  <si>
    <t>ТИП ИСПОЛЬЗОВАНИЯ</t>
  </si>
  <si>
    <t>ЗАРЕГИСТРИРОВАН</t>
  </si>
  <si>
    <t>НЕ ЗАРЕГИСТРИРОВАН</t>
  </si>
  <si>
    <t>МАРКА И МОДЕЛЬ</t>
  </si>
  <si>
    <t>СЕРТИФИКАТ ТИПА</t>
  </si>
  <si>
    <t>ЗАВОДСКОЙ НОМЕР</t>
  </si>
  <si>
    <t>ПЕРВАЯ РЕГИСТРАЦИЯ</t>
  </si>
  <si>
    <t>КМ В ГОД</t>
  </si>
  <si>
    <t>ТЕКУЩЕЕ ПОКРЫТИЕ</t>
  </si>
  <si>
    <t>ЖЕЛАЕМОЕ ПОКРЫТИЕ</t>
  </si>
  <si>
    <t>VEHICLE FLEET</t>
  </si>
  <si>
    <t>VEHICLE TYPE</t>
  </si>
  <si>
    <t>USAGE TYPE</t>
  </si>
  <si>
    <t>REGISTERED</t>
  </si>
  <si>
    <t>NOT REGISTERED</t>
  </si>
  <si>
    <t>MAKE AND MODEL</t>
  </si>
  <si>
    <t>TYPE CERTIFICATE</t>
  </si>
  <si>
    <t>SERIAL NUMBER</t>
  </si>
  <si>
    <t>FIRST REGISTRATION</t>
  </si>
  <si>
    <t>KM PER YEAR</t>
  </si>
  <si>
    <t>CURRENT COVERAGE</t>
  </si>
  <si>
    <t>DESIRED COVERAGE</t>
  </si>
  <si>
    <t>VEICOLO</t>
  </si>
  <si>
    <t>FAHRZEUG</t>
  </si>
  <si>
    <t>VÉHICULE</t>
  </si>
  <si>
    <t>VEÍCULO</t>
  </si>
  <si>
    <t>ТРАНСП. СРЕД.</t>
  </si>
  <si>
    <t>VEHICLE</t>
  </si>
  <si>
    <t>IMMOBILE</t>
  </si>
  <si>
    <t>TIPOLOGIA IMMOBILE</t>
  </si>
  <si>
    <t>OBIETTIVI E UTILIZZI</t>
  </si>
  <si>
    <t>VALORE COMMERCIALE</t>
  </si>
  <si>
    <t>DEBITO IPOTECA</t>
  </si>
  <si>
    <t>TIPO AMMORTAMENTO</t>
  </si>
  <si>
    <t>ISTITUTO DI CREDITO</t>
  </si>
  <si>
    <t>SCADENZA CONTRATTO</t>
  </si>
  <si>
    <t>IMMOBILIE</t>
  </si>
  <si>
    <t>IMMOBILIENART</t>
  </si>
  <si>
    <t>ZIELE UND NUTZUNG</t>
  </si>
  <si>
    <t>MARKTWERT</t>
  </si>
  <si>
    <t>HYPOTHEKENSCHULD</t>
  </si>
  <si>
    <t>AMORTISATIONSTYP</t>
  </si>
  <si>
    <t>KREDITINSTITUT</t>
  </si>
  <si>
    <t>VERTRAGSABLAUF</t>
  </si>
  <si>
    <t>IMMEUBLE</t>
  </si>
  <si>
    <t>TYPE D’IMMEUBLE</t>
  </si>
  <si>
    <t>OBJECTIFS ET UTILISATIONS</t>
  </si>
  <si>
    <t>VALEUR COMMERCIALE</t>
  </si>
  <si>
    <t>DETTE HYPOTHÉCAIRE</t>
  </si>
  <si>
    <t>TYPE D’AMORTISSEMENT</t>
  </si>
  <si>
    <t>INSTITUTION DE CRÉDIT</t>
  </si>
  <si>
    <t>ÉCHÉANCE DU CONTRAT</t>
  </si>
  <si>
    <t>IMÓVEL</t>
  </si>
  <si>
    <t>TIPO DE IMÓVEL</t>
  </si>
  <si>
    <t>OBJETIVOS E USOS</t>
  </si>
  <si>
    <t>VALOR COMERCIAL</t>
  </si>
  <si>
    <t>DÍVIDA HIPOTECÁRIA</t>
  </si>
  <si>
    <t>TIPO DE AMORTIZAÇÃO</t>
  </si>
  <si>
    <t>INSTITUIÇÃO FINANCEIRA</t>
  </si>
  <si>
    <t>VENCIMENTO DO CONTRATO</t>
  </si>
  <si>
    <t>НЕДВИЖИМОСТЬ</t>
  </si>
  <si>
    <t>ТИП НЕДВИЖИМОСТИ</t>
  </si>
  <si>
    <t>ЦЕЛИ И ИСПОЛЬЗОВАНИЕ</t>
  </si>
  <si>
    <t>РЫНОЧНАЯ СТОИМОСТЬ</t>
  </si>
  <si>
    <t>ИПОТЕЧНЫЙ ДОЛГ</t>
  </si>
  <si>
    <t>ТИП АМОРТИЗАЦИИ</t>
  </si>
  <si>
    <t>КРЕДИТНОЕ УЧРЕЖДЕНИЕ</t>
  </si>
  <si>
    <t>СРОК ДЕЙСТВИЯ КОНТРАКТА</t>
  </si>
  <si>
    <t>PROPERTY</t>
  </si>
  <si>
    <t>PROPERTY TYPE</t>
  </si>
  <si>
    <t>OBJECTIVES AND USES</t>
  </si>
  <si>
    <t>COMMERCIAL VALUE</t>
  </si>
  <si>
    <t>MORTGAGE DEBT</t>
  </si>
  <si>
    <t>AMORTIZATION TYPE</t>
  </si>
  <si>
    <t>CREDIT INSTITUTION</t>
  </si>
  <si>
    <t>CONTRACT EXPIRATION</t>
  </si>
  <si>
    <t>• RISCHI PATRIMONIALI DIRETTI: In caso di pretese RC, cause legali , Rischio prodotto, Rischio esercizio, rischio ambientale, rischio impianti</t>
  </si>
  <si>
    <t>GESTIONE AZIENDALE</t>
  </si>
  <si>
    <t>PRODOTTO DELL'AZIENDA</t>
  </si>
  <si>
    <t>OBIETTIVI E SVILUPPI AZIENDALI</t>
  </si>
  <si>
    <t>FATTURATO</t>
  </si>
  <si>
    <t>• RISCHI PATRIMONIALI DIRETTI: In caso di pretese RC, cause legali, rischio prodotto, rischio esercizio, rischio ambientale, rischio impianti</t>
  </si>
  <si>
    <t>UNTERNEHMENSFÜHRUNG</t>
  </si>
  <si>
    <t>UNTERNEHMENSPRODUKT</t>
  </si>
  <si>
    <t>UNTERNEHMENSZIELE UND ENTWICKLUNG</t>
  </si>
  <si>
    <t>UMSATZ</t>
  </si>
  <si>
    <t>• DIREKTE VERMÖGENSRISIKEN: Bei Haftpflichtansprüchen, Rechtsstreitigkeiten, Produkthaftungsrisiko, Betriebsrisiko, Umweltrisiko, Anlagerisiko</t>
  </si>
  <si>
    <t>GESTION D’ENTREPRISE</t>
  </si>
  <si>
    <t>PRODUIT DE L’ENTREPRISE</t>
  </si>
  <si>
    <t>OBJECTIFS ET DÉVELOPPEMENTS DE L’ENTREPRISE</t>
  </si>
  <si>
    <t>CHIFFRE D’AFFAIRES</t>
  </si>
  <si>
    <t>• RISQUES PATRIMONIAUX DIRECTS : En cas de réclamations RC, litiges juridiques, risque produit, risque d’exploitation, risque environnemental, risque installations</t>
  </si>
  <si>
    <t>GESTÃO EMPRESARIAL</t>
  </si>
  <si>
    <t>PRODUTO DA EMPRESA</t>
  </si>
  <si>
    <t>OBJETIVOS E DESENVOLVIMENTOS EMPRESARIAIS</t>
  </si>
  <si>
    <t>FATURAMENTO</t>
  </si>
  <si>
    <t>• RISCOS PATRIMONIAIS DIRETOS: Em caso de reivindicações RC, litígios jurídicos, risco do produto, risco de operação, risco ambiental, risco de instalações</t>
  </si>
  <si>
    <t>УПРАВЛЕНИЕ КОМПАНИЕЙ</t>
  </si>
  <si>
    <t>ПРОДУКТ КОМПАНИИ</t>
  </si>
  <si>
    <t>ЦЕЛИ И РАЗВИТИЕ КОМПАНИИ</t>
  </si>
  <si>
    <t>ОБОРОТ</t>
  </si>
  <si>
    <t>• ПРЯМЫЕ ИМУЩЕСТВЕННЫЕ РИСКИ: В случае претензий по ответственности, судебных разбирательств, риска продукта, операционного риска, экологического риска, риска оборудования</t>
  </si>
  <si>
    <t>BUSINESS MANAGEMENT</t>
  </si>
  <si>
    <t>COMPANY PRODUCT</t>
  </si>
  <si>
    <t>BUSINESS OBJECTIVES AND DEVELOPMENTS</t>
  </si>
  <si>
    <t>TURNOVER</t>
  </si>
  <si>
    <t>• DIRECT ASSET RISKS: In case of liability claims, legal disputes, product risk, operational risk, environmental risk, installation risk</t>
  </si>
  <si>
    <t>DIPENDENTI PER CUI LA DIREZIONE RITIENE OPPORTUNO PROPORRE UNA INFORMATIVA / VERIFICA PREVIDENZIALE</t>
  </si>
  <si>
    <t>MITARBEITER, FÜR DIE DIE GESCHÄFTSLEITUNG EINE INFORMATIONS- / VORSORGEÜBERPRÜFUNG FÜR ANGEBRACHT HÄLT</t>
  </si>
  <si>
    <t>EMPLOYÉS POUR LESQUELS LA DIRECTION ESTIME OPPORTUN DE PROPOSER UNE INFORMATION / VÉRIFICATION PRÉVOYANCE</t>
  </si>
  <si>
    <t>FUNCIONÁRIOS PARA OS QUAIS A DIREÇÃO CONSIDERA OPORTUNO PROPOR UMA INFORMAÇÃO / REVISÃO PREVIDENCIÁRIA</t>
  </si>
  <si>
    <t>СОТРУДНИКИ, ДЛЯ КОТОРЫХ РУКОВОДСТВО СЧИТАЕТ ЦЕЛЕСООБРАЗНЫМ ПРЕДЛОЖИТЬ ИНФОРМАЦИЮ / ПРОВЕРКУ ПЕНСИОННОГО ОБЕСПЕЧЕНИЯ</t>
  </si>
  <si>
    <t>EMPLOYEES FOR WHOM MANAGEMENT CONSIDERS IT APPROPRIATE TO PROPOSE A PENSION INFORMATION / REVIEW</t>
  </si>
  <si>
    <t>Lingua - Sprache - Langue</t>
  </si>
  <si>
    <t>Lui</t>
  </si>
  <si>
    <t>Lei</t>
  </si>
  <si>
    <t>lui</t>
  </si>
  <si>
    <t>LÜCKEN: N. Jahre ohne Arbeit oder in Arbeitslosigkeit (nur N., kein Text)</t>
  </si>
  <si>
    <t>LACUNE : N. Années sans travail ou au chômage (no-text)</t>
  </si>
  <si>
    <t>LACUNE: N. Anni senza lavoro o in disoccupazione  (n. no testo)</t>
  </si>
  <si>
    <t>LACUNAS:N.  Anos sem trabalho ou em desemprego(no text)</t>
  </si>
  <si>
    <t>GAPS: N. Years without work or unemployed (no text)</t>
  </si>
  <si>
    <t>Oneri per altri crediti:</t>
  </si>
  <si>
    <t>Belastungen für andere Kredite</t>
  </si>
  <si>
    <t>Charges pour d'autres crédits</t>
  </si>
  <si>
    <t>Encargos para outros créditos</t>
  </si>
  <si>
    <t>Затраты на другие кредиты</t>
  </si>
  <si>
    <t>Charges for other credits</t>
  </si>
  <si>
    <t>QUESTO FILE ESCEL PER IL CALCOLO PREVIDENZIALE,PER L'ANALISI E QUALE AUSILIO ALLA VENDITA, È STATO CREATO DA GINO BARATELLA. OGNI DIRITTO SU QUESTO FOGLIO DI CALOCOLO È RISERVATO.</t>
  </si>
  <si>
    <t>Budget</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</si>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</sst>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 #,##0.00_ ;_ * \-#,##0.00_ ;_ * &quot;-&quot;??_ ;_ @_ "/>
    <numFmt numFmtId="164" formatCode="#,###.00"/>
    <numFmt numFmtId="165" formatCode="[$CHF-810]\ #,##0"/>
    <numFmt numFmtId="166" formatCode="[$CHF-810]\ #,##0.00;[$CHF-810]&quot; -&quot;#,##0.00"/>
    <numFmt numFmtId="167" formatCode="_-* #,##0.00&quot; €&quot;_-;\-* #,##0.00&quot; €&quot;_-;_-* \-??&quot; €&quot;_-;_-@_-"/>
    <numFmt numFmtId="168" formatCode="[$CHF-810]\ #,##0.00"/>
    <numFmt numFmtId="169" formatCode="[$CHF-810]\ #,##0;[Red][$CHF-810]\ #,##0"/>
    <numFmt numFmtId="170" formatCode="#,###"/>
    <numFmt numFmtId="171" formatCode="_-* #,##0.00_-;\-* #,##0.00_-;_-* \-??_-;_-@_-"/>
    <numFmt numFmtId="172" formatCode="[$CHF-810]\ #,##0.00;[Red][$CHF-810]\ #,##0.00"/>
    <numFmt numFmtId="173" formatCode="_-* #,##0_-;\-* #,##0_-;_-* \-_-;_-@_-"/>
    <numFmt numFmtId="174" formatCode="[$CHF-810]\ #,##0;[$CHF-810]&quot; -&quot;#,##0"/>
    <numFmt numFmtId="175" formatCode="&quot;SFr. &quot;#,##0"/>
    <numFmt numFmtId="176" formatCode="_-* #,##0.00&quot; CHF&quot;_-;\-* #,##0.00&quot; CHF&quot;_-;_-* \-??&quot; CHF&quot;_-;_-@_-"/>
    <numFmt numFmtId="177" formatCode="#,##0&quot;   &quot;"/>
    <numFmt numFmtId="178" formatCode="[$SFr.-810]\ #,##0;[Red][$SFr.-810]&quot; -&quot;#,##0"/>
    <numFmt numFmtId="179" formatCode="&quot;CHF&quot;\ #,##0"/>
    <numFmt numFmtId="180" formatCode="dd/mm/yyyy;@"/>
    <numFmt numFmtId="181" formatCode="&quot;CHF&quot;\ #,##0.00;[Red]&quot;CHF&quot;\ #,##0.00"/>
    <numFmt numFmtId="182" formatCode="&quot;CHF&quot;\ #,##0;[Red]&quot;CHF&quot;\ #,##0"/>
    <numFmt numFmtId="183" formatCode="&quot;CHF&quot;\ #,##0.00"/>
    <numFmt numFmtId="184" formatCode="dd/mm/yy"/>
  </numFmts>
  <fonts count="232" x14ac:knownFonts="1">
    <font>
      <sz val="10"/>
      <name val="Arial"/>
      <family val="2"/>
    </font>
    <font>
      <sz val="12"/>
      <color indexed="8"/>
      <name val="Calibri"/>
      <family val="2"/>
      <charset val="1"/>
    </font>
    <font>
      <b/>
      <sz val="12"/>
      <color indexed="8"/>
      <name val="Calibri"/>
      <family val="2"/>
      <charset val="1"/>
    </font>
    <font>
      <sz val="10"/>
      <color indexed="8"/>
      <name val="Calibri"/>
      <family val="2"/>
      <charset val="1"/>
    </font>
    <font>
      <b/>
      <sz val="14"/>
      <color indexed="8"/>
      <name val="Calibri"/>
      <family val="2"/>
      <charset val="1"/>
    </font>
    <font>
      <sz val="11"/>
      <color indexed="8"/>
      <name val="Calibri"/>
      <family val="2"/>
      <charset val="1"/>
    </font>
    <font>
      <b/>
      <sz val="10"/>
      <name val="Arial"/>
      <family val="2"/>
    </font>
    <font>
      <sz val="12"/>
      <color indexed="8"/>
      <name val="Arial"/>
      <family val="2"/>
    </font>
    <font>
      <sz val="9"/>
      <color indexed="8"/>
      <name val="Arial"/>
      <family val="2"/>
    </font>
    <font>
      <u/>
      <sz val="10"/>
      <color indexed="30"/>
      <name val="Arial"/>
      <family val="2"/>
    </font>
    <font>
      <b/>
      <sz val="12"/>
      <name val="Arial"/>
      <family val="2"/>
    </font>
    <font>
      <sz val="10"/>
      <color indexed="8"/>
      <name val="Arial"/>
      <family val="2"/>
    </font>
    <font>
      <b/>
      <sz val="14"/>
      <name val="Arial"/>
      <family val="2"/>
    </font>
    <font>
      <sz val="10"/>
      <name val="Lucida Sans"/>
      <family val="2"/>
    </font>
    <font>
      <b/>
      <sz val="10"/>
      <color indexed="25"/>
      <name val="Arial"/>
      <family val="2"/>
    </font>
    <font>
      <sz val="9"/>
      <name val="Arial"/>
      <family val="2"/>
    </font>
    <font>
      <b/>
      <sz val="14"/>
      <color indexed="8"/>
      <name val="Arial"/>
      <family val="2"/>
    </font>
    <font>
      <b/>
      <sz val="10"/>
      <color indexed="8"/>
      <name val="Calibri"/>
      <family val="2"/>
      <charset val="1"/>
    </font>
    <font>
      <i/>
      <sz val="10"/>
      <color indexed="8"/>
      <name val="Calibri"/>
      <family val="2"/>
      <charset val="1"/>
    </font>
    <font>
      <sz val="10"/>
      <color indexed="14"/>
      <name val="Calibri"/>
      <family val="2"/>
      <charset val="1"/>
    </font>
    <font>
      <sz val="10"/>
      <color indexed="9"/>
      <name val="Calibri"/>
      <family val="2"/>
      <charset val="1"/>
    </font>
    <font>
      <sz val="12"/>
      <color indexed="9"/>
      <name val="Calibri"/>
      <family val="2"/>
      <charset val="1"/>
    </font>
    <font>
      <sz val="10"/>
      <name val="Arial"/>
      <family val="2"/>
    </font>
    <font>
      <sz val="11"/>
      <color indexed="8"/>
      <name val="Calibri"/>
      <family val="2"/>
    </font>
    <font>
      <b/>
      <sz val="11"/>
      <color indexed="8"/>
      <name val="Calibri"/>
      <family val="2"/>
    </font>
    <font>
      <b/>
      <sz val="14"/>
      <color indexed="8"/>
      <name val="Calibri"/>
      <family val="2"/>
    </font>
    <font>
      <sz val="9"/>
      <color indexed="8"/>
      <name val="Calibri"/>
      <family val="2"/>
    </font>
    <font>
      <sz val="10"/>
      <color indexed="8"/>
      <name val="Calibri"/>
      <family val="2"/>
    </font>
    <font>
      <b/>
      <sz val="9"/>
      <color indexed="8"/>
      <name val="Calibri"/>
      <family val="2"/>
    </font>
    <font>
      <b/>
      <sz val="10"/>
      <color indexed="8"/>
      <name val="Calibri"/>
      <family val="2"/>
    </font>
    <font>
      <sz val="9"/>
      <color indexed="10"/>
      <name val="Calibri"/>
      <family val="2"/>
    </font>
    <font>
      <sz val="8"/>
      <color indexed="8"/>
      <name val="Calibri"/>
      <family val="2"/>
    </font>
    <font>
      <b/>
      <sz val="11"/>
      <color indexed="10"/>
      <name val="Calibri"/>
      <family val="2"/>
    </font>
    <font>
      <b/>
      <sz val="8"/>
      <color indexed="10"/>
      <name val="Calibri"/>
      <family val="2"/>
    </font>
    <font>
      <b/>
      <sz val="10"/>
      <color indexed="10"/>
      <name val="Calibri"/>
      <family val="2"/>
    </font>
    <font>
      <b/>
      <sz val="12"/>
      <color indexed="8"/>
      <name val="Calibri"/>
      <family val="2"/>
    </font>
    <font>
      <sz val="7"/>
      <name val="Arial"/>
      <family val="2"/>
    </font>
    <font>
      <b/>
      <sz val="10"/>
      <color indexed="10"/>
      <name val="Calibri"/>
      <family val="2"/>
      <charset val="1"/>
    </font>
    <font>
      <b/>
      <sz val="10"/>
      <color indexed="12"/>
      <name val="Calibri"/>
      <family val="2"/>
      <charset val="1"/>
    </font>
    <font>
      <b/>
      <sz val="16"/>
      <color indexed="8"/>
      <name val="Calibri"/>
      <family val="2"/>
    </font>
    <font>
      <sz val="11"/>
      <color indexed="8"/>
      <name val="Arial"/>
      <family val="2"/>
      <charset val="1"/>
    </font>
    <font>
      <sz val="11"/>
      <color indexed="10"/>
      <name val="Arial"/>
      <family val="2"/>
      <charset val="1"/>
    </font>
    <font>
      <sz val="8"/>
      <name val="Arial"/>
      <family val="2"/>
    </font>
    <font>
      <sz val="10"/>
      <color rgb="FFFF0000"/>
      <name val="Calibri"/>
      <family val="2"/>
      <charset val="1"/>
    </font>
    <font>
      <sz val="12"/>
      <color rgb="FFFF0000"/>
      <name val="Calibri"/>
      <family val="2"/>
      <charset val="1"/>
    </font>
    <font>
      <sz val="12"/>
      <color theme="0"/>
      <name val="Calibri"/>
      <family val="2"/>
      <charset val="1"/>
    </font>
    <font>
      <b/>
      <sz val="14"/>
      <color theme="0"/>
      <name val="Arial"/>
      <family val="2"/>
    </font>
    <font>
      <sz val="9"/>
      <color rgb="FFFF0000"/>
      <name val="Arial"/>
      <family val="2"/>
    </font>
    <font>
      <sz val="12"/>
      <color rgb="FFFF0000"/>
      <name val="Arial"/>
      <family val="2"/>
    </font>
    <font>
      <sz val="10"/>
      <color theme="4" tint="-0.249977111117893"/>
      <name val="Arial"/>
      <family val="2"/>
    </font>
    <font>
      <i/>
      <sz val="10"/>
      <color theme="4" tint="-0.249977111117893"/>
      <name val="Arial"/>
      <family val="2"/>
    </font>
    <font>
      <b/>
      <sz val="14"/>
      <color theme="4" tint="-0.249977111117893"/>
      <name val="Arial"/>
      <family val="2"/>
    </font>
    <font>
      <sz val="9"/>
      <color theme="4" tint="-0.249977111117893"/>
      <name val="Arial"/>
      <family val="2"/>
    </font>
    <font>
      <b/>
      <sz val="9"/>
      <color rgb="FF00B050"/>
      <name val="Arial"/>
      <family val="2"/>
    </font>
    <font>
      <sz val="8"/>
      <color theme="4" tint="-0.249977111117893"/>
      <name val="Arial"/>
      <family val="2"/>
    </font>
    <font>
      <sz val="10"/>
      <color theme="0" tint="-0.34998626667073579"/>
      <name val="Calibri"/>
      <family val="2"/>
      <charset val="1"/>
    </font>
    <font>
      <sz val="10"/>
      <color theme="4"/>
      <name val="Calibri"/>
      <family val="2"/>
      <charset val="1"/>
    </font>
    <font>
      <b/>
      <i/>
      <sz val="10"/>
      <color theme="4"/>
      <name val="Calibri"/>
      <family val="2"/>
    </font>
    <font>
      <sz val="10"/>
      <color rgb="FFFF0000"/>
      <name val="Arial"/>
      <family val="2"/>
    </font>
    <font>
      <sz val="10"/>
      <color theme="4" tint="-0.499984740745262"/>
      <name val="Arial"/>
      <family val="2"/>
    </font>
    <font>
      <sz val="7"/>
      <color theme="4" tint="-0.249977111117893"/>
      <name val="Arial"/>
      <family val="2"/>
    </font>
    <font>
      <b/>
      <sz val="16"/>
      <color rgb="FFFF0000"/>
      <name val="Calibri"/>
      <family val="2"/>
    </font>
    <font>
      <sz val="10"/>
      <color rgb="FF7030A0"/>
      <name val="Arial"/>
      <family val="2"/>
    </font>
    <font>
      <b/>
      <sz val="10"/>
      <color theme="4" tint="-0.249977111117893"/>
      <name val="Arial"/>
      <family val="2"/>
    </font>
    <font>
      <b/>
      <sz val="14"/>
      <color theme="4" tint="-0.249977111117893"/>
      <name val="Calibri"/>
      <family val="2"/>
    </font>
    <font>
      <b/>
      <sz val="12"/>
      <color rgb="FF00B050"/>
      <name val="Calibri"/>
      <family val="2"/>
    </font>
    <font>
      <sz val="10"/>
      <color theme="0" tint="-0.249977111117893"/>
      <name val="Arial"/>
      <family val="2"/>
    </font>
    <font>
      <sz val="10"/>
      <color rgb="FF00B0F0"/>
      <name val="Arial"/>
      <family val="2"/>
    </font>
    <font>
      <sz val="12"/>
      <color theme="0" tint="-0.34998626667073579"/>
      <name val="Arial"/>
      <family val="2"/>
    </font>
    <font>
      <b/>
      <sz val="12"/>
      <color theme="0" tint="-0.34998626667073579"/>
      <name val="Calibri"/>
      <family val="2"/>
    </font>
    <font>
      <sz val="12"/>
      <color theme="0" tint="-0.34998626667073579"/>
      <name val="Calibri"/>
      <family val="2"/>
      <charset val="1"/>
    </font>
    <font>
      <b/>
      <i/>
      <sz val="10"/>
      <name val="Arial"/>
      <family val="2"/>
    </font>
    <font>
      <sz val="10"/>
      <color theme="0"/>
      <name val="Calibri"/>
      <family val="2"/>
      <charset val="1"/>
    </font>
    <font>
      <sz val="10"/>
      <color rgb="FFD76CDA"/>
      <name val="Arial"/>
      <family val="2"/>
    </font>
    <font>
      <sz val="10"/>
      <color theme="0" tint="-0.34998626667073579"/>
      <name val="Arial"/>
      <family val="2"/>
    </font>
    <font>
      <i/>
      <sz val="10"/>
      <color rgb="FF0070C0"/>
      <name val="Calibri"/>
      <family val="2"/>
    </font>
    <font>
      <b/>
      <i/>
      <sz val="10"/>
      <color rgb="FF0070C0"/>
      <name val="Calibri"/>
      <family val="2"/>
    </font>
    <font>
      <b/>
      <sz val="10"/>
      <color rgb="FF0070C0"/>
      <name val="Calibri"/>
      <family val="2"/>
    </font>
    <font>
      <b/>
      <sz val="10"/>
      <name val="Calibri"/>
      <family val="2"/>
      <charset val="1"/>
    </font>
    <font>
      <sz val="10"/>
      <name val="Calibri"/>
      <family val="2"/>
      <charset val="1"/>
    </font>
    <font>
      <sz val="10"/>
      <color rgb="FF002060"/>
      <name val="Arial"/>
      <family val="2"/>
    </font>
    <font>
      <b/>
      <sz val="9"/>
      <color indexed="12"/>
      <name val="Calibri"/>
      <family val="2"/>
      <charset val="1"/>
    </font>
    <font>
      <sz val="14"/>
      <name val="Arial"/>
      <family val="2"/>
    </font>
    <font>
      <i/>
      <sz val="10"/>
      <color rgb="FF0000FF"/>
      <name val="Calibri"/>
      <family val="2"/>
    </font>
    <font>
      <b/>
      <i/>
      <sz val="10"/>
      <color rgb="FF0000FF"/>
      <name val="Calibri"/>
      <family val="2"/>
    </font>
    <font>
      <b/>
      <sz val="10"/>
      <color rgb="FF0000FF"/>
      <name val="Calibri"/>
      <family val="2"/>
    </font>
    <font>
      <sz val="10"/>
      <color rgb="FF0000FF"/>
      <name val="Calibri"/>
      <family val="2"/>
      <charset val="1"/>
    </font>
    <font>
      <sz val="18"/>
      <color rgb="FFFF0000"/>
      <name val="Arial"/>
      <family val="2"/>
    </font>
    <font>
      <b/>
      <sz val="8"/>
      <name val="Arial"/>
      <family val="2"/>
    </font>
    <font>
      <b/>
      <sz val="9"/>
      <color indexed="8"/>
      <name val="Arial"/>
      <family val="2"/>
    </font>
    <font>
      <sz val="8"/>
      <color indexed="8"/>
      <name val="Arial Narrow"/>
      <family val="2"/>
    </font>
    <font>
      <sz val="9"/>
      <color indexed="8"/>
      <name val="Arial Narrow"/>
      <family val="2"/>
    </font>
    <font>
      <b/>
      <sz val="9"/>
      <color indexed="8"/>
      <name val="Arial Narrow"/>
      <family val="2"/>
    </font>
    <font>
      <sz val="12"/>
      <color indexed="8"/>
      <name val="Arial Narrow"/>
      <family val="2"/>
    </font>
    <font>
      <b/>
      <sz val="8"/>
      <color indexed="10"/>
      <name val="Arial Narrow"/>
      <family val="2"/>
    </font>
    <font>
      <sz val="11"/>
      <color indexed="8"/>
      <name val="Arial Narrow"/>
      <family val="2"/>
    </font>
    <font>
      <b/>
      <sz val="14"/>
      <color indexed="8"/>
      <name val="Arial Narrow"/>
      <family val="2"/>
    </font>
    <font>
      <b/>
      <sz val="11"/>
      <color indexed="8"/>
      <name val="Arial Narrow"/>
      <family val="2"/>
    </font>
    <font>
      <sz val="10"/>
      <color indexed="8"/>
      <name val="Arial Narrow"/>
      <family val="2"/>
    </font>
    <font>
      <sz val="10"/>
      <name val="Arial Narrow"/>
      <family val="2"/>
    </font>
    <font>
      <b/>
      <sz val="10"/>
      <color indexed="10"/>
      <name val="Arial Narrow"/>
      <family val="2"/>
    </font>
    <font>
      <b/>
      <sz val="12"/>
      <color indexed="8"/>
      <name val="Arial Narrow"/>
      <family val="2"/>
    </font>
    <font>
      <b/>
      <sz val="14"/>
      <color theme="9" tint="-0.249977111117893"/>
      <name val="Arial Narrow"/>
      <family val="2"/>
    </font>
    <font>
      <b/>
      <sz val="10"/>
      <color indexed="8"/>
      <name val="Arial Narrow"/>
      <family val="2"/>
    </font>
    <font>
      <sz val="11"/>
      <color indexed="10"/>
      <name val="Arial Narrow"/>
      <family val="2"/>
    </font>
    <font>
      <b/>
      <sz val="12"/>
      <name val="Arial Narrow"/>
      <family val="2"/>
    </font>
    <font>
      <b/>
      <sz val="12"/>
      <color indexed="10"/>
      <name val="Arial Narrow"/>
      <family val="2"/>
    </font>
    <font>
      <b/>
      <sz val="12"/>
      <color rgb="FFFF0000"/>
      <name val="Arial Narrow"/>
      <family val="2"/>
    </font>
    <font>
      <b/>
      <sz val="12"/>
      <color indexed="60"/>
      <name val="Arial Narrow"/>
      <family val="2"/>
    </font>
    <font>
      <sz val="10"/>
      <color rgb="FFFF0000"/>
      <name val="Arial Narrow"/>
      <family val="2"/>
    </font>
    <font>
      <i/>
      <sz val="10"/>
      <color indexed="23"/>
      <name val="Arial Narrow"/>
      <family val="2"/>
    </font>
    <font>
      <sz val="12"/>
      <name val="Arial Narrow"/>
      <family val="2"/>
    </font>
    <font>
      <b/>
      <i/>
      <sz val="15"/>
      <color indexed="8"/>
      <name val="Arial Narrow"/>
      <family val="2"/>
    </font>
    <font>
      <i/>
      <sz val="10.5"/>
      <color indexed="8"/>
      <name val="Arial Narrow"/>
      <family val="2"/>
    </font>
    <font>
      <sz val="10"/>
      <color indexed="10"/>
      <name val="Arial Narrow"/>
      <family val="2"/>
    </font>
    <font>
      <b/>
      <sz val="5"/>
      <color indexed="8"/>
      <name val="Calibri"/>
      <family val="2"/>
      <charset val="1"/>
    </font>
    <font>
      <b/>
      <sz val="11"/>
      <color rgb="FF002060"/>
      <name val="Arial"/>
      <family val="2"/>
    </font>
    <font>
      <b/>
      <sz val="10"/>
      <color rgb="FF002060"/>
      <name val="Arial"/>
      <family val="2"/>
    </font>
    <font>
      <sz val="18"/>
      <color rgb="FF002060"/>
      <name val="Arial"/>
      <family val="2"/>
    </font>
    <font>
      <sz val="8"/>
      <color rgb="FF002060"/>
      <name val="Arial"/>
      <family val="2"/>
    </font>
    <font>
      <b/>
      <sz val="8"/>
      <color rgb="FF002060"/>
      <name val="Arial"/>
      <family val="2"/>
    </font>
    <font>
      <b/>
      <sz val="8"/>
      <color theme="4" tint="-0.249977111117893"/>
      <name val="Arial Narrow"/>
      <family val="2"/>
    </font>
    <font>
      <b/>
      <sz val="10"/>
      <color theme="4" tint="-0.249977111117893"/>
      <name val="Arial Narrow"/>
      <family val="2"/>
    </font>
    <font>
      <sz val="10"/>
      <color theme="4" tint="-0.499984740745262"/>
      <name val="Aptos Narrow"/>
      <family val="2"/>
    </font>
    <font>
      <u/>
      <sz val="10"/>
      <color theme="4" tint="-0.499984740745262"/>
      <name val="Arial"/>
      <family val="2"/>
    </font>
    <font>
      <i/>
      <sz val="10"/>
      <color theme="4" tint="-0.499984740745262"/>
      <name val="Arial"/>
      <family val="2"/>
    </font>
    <font>
      <sz val="10"/>
      <color theme="4" tint="-0.499984740745262"/>
      <name val="Calibri"/>
      <family val="2"/>
      <charset val="1"/>
    </font>
    <font>
      <i/>
      <sz val="10"/>
      <color theme="4" tint="-0.499984740745262"/>
      <name val="Calibri"/>
      <family val="2"/>
    </font>
    <font>
      <sz val="10"/>
      <color theme="4" tint="-0.499984740745262"/>
      <name val="Calibri"/>
      <family val="2"/>
    </font>
    <font>
      <sz val="10"/>
      <color theme="4" tint="-0.499984740745262"/>
      <name val="Arial"/>
      <family val="2"/>
      <charset val="1"/>
    </font>
    <font>
      <sz val="9"/>
      <color rgb="FFFF0000"/>
      <name val="Calibri"/>
      <family val="2"/>
    </font>
    <font>
      <sz val="9"/>
      <name val="Calibri"/>
      <family val="2"/>
    </font>
    <font>
      <b/>
      <sz val="14"/>
      <color theme="4" tint="-0.499984740745262"/>
      <name val="Calibri"/>
      <family val="2"/>
    </font>
    <font>
      <sz val="12"/>
      <color theme="4" tint="-0.499984740745262"/>
      <name val="Calibri"/>
      <family val="2"/>
    </font>
    <font>
      <b/>
      <sz val="14"/>
      <color rgb="FFFF0000"/>
      <name val="Calibri"/>
      <family val="2"/>
    </font>
    <font>
      <b/>
      <sz val="6"/>
      <color theme="4" tint="-0.499984740745262"/>
      <name val="Calibri"/>
      <family val="2"/>
    </font>
    <font>
      <b/>
      <sz val="9"/>
      <color theme="4" tint="-0.499984740745262"/>
      <name val="Calibri"/>
      <family val="2"/>
    </font>
    <font>
      <i/>
      <sz val="9"/>
      <color theme="4" tint="-0.499984740745262"/>
      <name val="Calibri"/>
      <family val="2"/>
    </font>
    <font>
      <sz val="9"/>
      <color theme="4" tint="-0.499984740745262"/>
      <name val="Calibri"/>
      <family val="2"/>
    </font>
    <font>
      <b/>
      <i/>
      <sz val="9"/>
      <color theme="4" tint="-0.499984740745262"/>
      <name val="Calibri"/>
      <family val="2"/>
    </font>
    <font>
      <sz val="10"/>
      <color rgb="FF203764"/>
      <name val="Arial"/>
      <family val="2"/>
    </font>
    <font>
      <i/>
      <sz val="10"/>
      <color rgb="FFFF0000"/>
      <name val="Calibri"/>
      <family val="2"/>
      <charset val="1"/>
    </font>
    <font>
      <sz val="10"/>
      <color rgb="FF0070C0"/>
      <name val="Calibri"/>
      <family val="2"/>
      <charset val="1"/>
    </font>
    <font>
      <b/>
      <sz val="8"/>
      <color indexed="8"/>
      <name val="Arial Narrow"/>
      <family val="2"/>
    </font>
    <font>
      <sz val="11"/>
      <color theme="1"/>
      <name val="Arial"/>
      <family val="2"/>
    </font>
    <font>
      <sz val="9"/>
      <name val="Arial Narrow"/>
      <family val="2"/>
    </font>
    <font>
      <sz val="8"/>
      <color theme="4" tint="-0.499984740745262"/>
      <name val="Arial"/>
      <family val="2"/>
    </font>
    <font>
      <b/>
      <sz val="8"/>
      <color theme="4" tint="-0.499984740745262"/>
      <name val="Arial"/>
      <family val="2"/>
    </font>
    <font>
      <b/>
      <sz val="9"/>
      <color theme="4" tint="-0.499984740745262"/>
      <name val="Arial"/>
      <family val="2"/>
    </font>
    <font>
      <b/>
      <sz val="24"/>
      <color rgb="FF89CABF"/>
      <name val="Calibri"/>
      <family val="2"/>
    </font>
    <font>
      <b/>
      <sz val="14"/>
      <color rgb="FF203864"/>
      <name val="Calibri"/>
      <family val="2"/>
    </font>
    <font>
      <b/>
      <sz val="12"/>
      <color rgb="FF203864"/>
      <name val="Calibri"/>
      <family val="2"/>
    </font>
    <font>
      <sz val="14"/>
      <color rgb="FF000000"/>
      <name val="Calibri"/>
      <family val="2"/>
    </font>
    <font>
      <b/>
      <sz val="18"/>
      <color rgb="FF000000"/>
      <name val="Calibri"/>
      <family val="2"/>
    </font>
    <font>
      <b/>
      <sz val="11"/>
      <color rgb="FF000000"/>
      <name val="Calibri"/>
      <family val="2"/>
    </font>
    <font>
      <sz val="11"/>
      <color rgb="FFC00000"/>
      <name val="Calibri"/>
      <family val="2"/>
    </font>
    <font>
      <sz val="12"/>
      <color rgb="FFC00000"/>
      <name val="Calibri"/>
      <family val="2"/>
    </font>
    <font>
      <sz val="12"/>
      <color rgb="FF000000"/>
      <name val="Calibri"/>
      <family val="2"/>
    </font>
    <font>
      <b/>
      <sz val="8"/>
      <color theme="4" tint="-0.249977111117893"/>
      <name val="Arial"/>
      <family val="2"/>
    </font>
    <font>
      <b/>
      <sz val="14"/>
      <color rgb="FF009999"/>
      <name val="Arial Narrow"/>
      <family val="2"/>
    </font>
    <font>
      <b/>
      <sz val="11"/>
      <color rgb="FF009999"/>
      <name val="Arial"/>
      <family val="2"/>
    </font>
    <font>
      <sz val="11"/>
      <color rgb="FF009999"/>
      <name val="Arial"/>
      <family val="2"/>
    </font>
    <font>
      <b/>
      <sz val="11"/>
      <color theme="4" tint="-0.249977111117893"/>
      <name val="Arial"/>
      <family val="2"/>
    </font>
    <font>
      <sz val="10"/>
      <color rgb="FF009999"/>
      <name val="Arial Narrow"/>
      <family val="2"/>
    </font>
    <font>
      <b/>
      <sz val="16"/>
      <color rgb="FF009999"/>
      <name val="Arial Narrow"/>
      <family val="2"/>
    </font>
    <font>
      <b/>
      <sz val="12"/>
      <color rgb="FF009999"/>
      <name val="Arial Narrow"/>
      <family val="2"/>
    </font>
    <font>
      <sz val="10"/>
      <color rgb="FF009999"/>
      <name val="Calibri"/>
      <family val="2"/>
    </font>
    <font>
      <b/>
      <sz val="18"/>
      <color rgb="FF009999"/>
      <name val="Arial Black"/>
      <family val="2"/>
    </font>
    <font>
      <sz val="8"/>
      <color rgb="FF009999"/>
      <name val="Arial"/>
      <family val="2"/>
    </font>
    <font>
      <sz val="9"/>
      <color rgb="FF009999"/>
      <name val="Arial"/>
      <family val="2"/>
    </font>
    <font>
      <sz val="10"/>
      <color rgb="FF009999"/>
      <name val="Arial"/>
      <family val="2"/>
    </font>
    <font>
      <b/>
      <sz val="12"/>
      <color rgb="FF009999"/>
      <name val="Arial"/>
      <family val="2"/>
    </font>
    <font>
      <b/>
      <sz val="10"/>
      <color rgb="FF009999"/>
      <name val="Arial"/>
      <family val="2"/>
    </font>
    <font>
      <b/>
      <i/>
      <sz val="9"/>
      <color rgb="FF009999"/>
      <name val="Arial"/>
      <family val="2"/>
    </font>
    <font>
      <sz val="12"/>
      <color rgb="FF009999"/>
      <name val="Arial"/>
      <family val="2"/>
    </font>
    <font>
      <b/>
      <i/>
      <sz val="8"/>
      <color rgb="FF009999"/>
      <name val="Arial"/>
      <family val="2"/>
    </font>
    <font>
      <sz val="6"/>
      <color rgb="FF009999"/>
      <name val="Arial"/>
      <family val="2"/>
    </font>
    <font>
      <b/>
      <i/>
      <sz val="7"/>
      <color rgb="FF009999"/>
      <name val="Arial"/>
      <family val="2"/>
    </font>
    <font>
      <b/>
      <i/>
      <sz val="10"/>
      <color rgb="FF009999"/>
      <name val="Arial"/>
      <family val="2"/>
    </font>
    <font>
      <b/>
      <sz val="9"/>
      <color rgb="FF009999"/>
      <name val="Arial"/>
      <family val="2"/>
    </font>
    <font>
      <i/>
      <sz val="10"/>
      <color rgb="FF009999"/>
      <name val="Arial"/>
      <family val="2"/>
    </font>
    <font>
      <sz val="10"/>
      <color theme="0"/>
      <name val="Arial"/>
      <family val="2"/>
    </font>
    <font>
      <sz val="10"/>
      <color theme="0"/>
      <name val="Arial Narrow"/>
      <family val="2"/>
    </font>
    <font>
      <b/>
      <sz val="10"/>
      <color theme="0"/>
      <name val="Arial"/>
      <family val="2"/>
    </font>
    <font>
      <sz val="8"/>
      <color theme="0"/>
      <name val="Arial"/>
      <family val="2"/>
    </font>
    <font>
      <b/>
      <sz val="11"/>
      <color theme="0"/>
      <name val="Arial"/>
      <family val="2"/>
    </font>
    <font>
      <b/>
      <sz val="20"/>
      <color theme="0"/>
      <name val="Arial"/>
      <family val="2"/>
    </font>
    <font>
      <sz val="8"/>
      <color rgb="FF002060"/>
      <name val="Arial Narrow"/>
      <family val="2"/>
    </font>
    <font>
      <b/>
      <sz val="28"/>
      <color rgb="FF009999"/>
      <name val="Arial Black"/>
      <family val="2"/>
    </font>
    <font>
      <sz val="9"/>
      <color rgb="FF009999"/>
      <name val="Aptos Narrow"/>
      <family val="2"/>
    </font>
    <font>
      <i/>
      <sz val="9"/>
      <color rgb="FF009999"/>
      <name val="Arial"/>
      <family val="2"/>
    </font>
    <font>
      <b/>
      <sz val="8"/>
      <color theme="0"/>
      <name val="Arial Narrow"/>
      <family val="2"/>
    </font>
    <font>
      <b/>
      <sz val="18"/>
      <color rgb="FF150179"/>
      <name val="Arial Black"/>
      <family val="2"/>
    </font>
    <font>
      <b/>
      <sz val="9"/>
      <color rgb="FF150179"/>
      <name val="Arial"/>
      <family val="2"/>
    </font>
    <font>
      <sz val="9"/>
      <color rgb="FF150179"/>
      <name val="Arial"/>
      <family val="2"/>
    </font>
    <font>
      <sz val="10"/>
      <color rgb="FF150179"/>
      <name val="Arial"/>
      <family val="2"/>
    </font>
    <font>
      <i/>
      <sz val="8"/>
      <color rgb="FF150179"/>
      <name val="Arial"/>
      <family val="2"/>
    </font>
    <font>
      <sz val="8"/>
      <color rgb="FF150179"/>
      <name val="Arial"/>
      <family val="2"/>
    </font>
    <font>
      <b/>
      <i/>
      <sz val="8"/>
      <color rgb="FF150179"/>
      <name val="Arial"/>
      <family val="2"/>
    </font>
    <font>
      <b/>
      <sz val="8"/>
      <color rgb="FF150179"/>
      <name val="Arial"/>
      <family val="2"/>
    </font>
    <font>
      <b/>
      <sz val="10"/>
      <color rgb="FF7030A0"/>
      <name val="Arial"/>
      <family val="2"/>
    </font>
    <font>
      <b/>
      <sz val="14"/>
      <color rgb="FF150179"/>
      <name val="Arial Black"/>
      <family val="2"/>
    </font>
    <font>
      <b/>
      <sz val="10"/>
      <color rgb="FF150179"/>
      <name val="Arial"/>
      <family val="2"/>
    </font>
    <font>
      <sz val="11"/>
      <color rgb="FF150179"/>
      <name val="Aptos Narrow"/>
      <family val="2"/>
    </font>
    <font>
      <b/>
      <sz val="16"/>
      <color rgb="FF150179"/>
      <name val="Arial Narrow"/>
      <family val="2"/>
    </font>
    <font>
      <b/>
      <sz val="10"/>
      <color rgb="FF150179"/>
      <name val="Arial Narrow"/>
      <family val="2"/>
    </font>
    <font>
      <b/>
      <sz val="12"/>
      <color rgb="FF150179"/>
      <name val="Arial Narrow"/>
      <family val="2"/>
    </font>
    <font>
      <i/>
      <sz val="10"/>
      <color rgb="FF150179"/>
      <name val="Arial Narrow"/>
      <family val="2"/>
    </font>
    <font>
      <sz val="12"/>
      <color rgb="FF150179"/>
      <name val="Arial Narrow"/>
      <family val="2"/>
    </font>
    <font>
      <sz val="10"/>
      <color rgb="FF150179"/>
      <name val="Arial Narrow"/>
      <family val="2"/>
    </font>
    <font>
      <b/>
      <sz val="11"/>
      <color rgb="FF150179"/>
      <name val="Arial Narrow"/>
      <family val="2"/>
    </font>
    <font>
      <i/>
      <sz val="10"/>
      <color rgb="FF009999"/>
      <name val="Arial Narrow"/>
      <family val="2"/>
    </font>
    <font>
      <sz val="12"/>
      <color rgb="FF009999"/>
      <name val="Arial Narrow"/>
      <family val="2"/>
    </font>
    <font>
      <b/>
      <sz val="10"/>
      <color rgb="FF009999"/>
      <name val="Arial Narrow"/>
      <family val="2"/>
    </font>
    <font>
      <b/>
      <sz val="16"/>
      <color rgb="FF33CCCC"/>
      <name val="Arial Narrow"/>
      <family val="2"/>
    </font>
    <font>
      <i/>
      <sz val="10"/>
      <name val="Arial"/>
      <family val="2"/>
    </font>
    <font>
      <b/>
      <i/>
      <sz val="9"/>
      <color indexed="10"/>
      <name val="Arial"/>
      <family val="2"/>
    </font>
    <font>
      <b/>
      <i/>
      <sz val="9"/>
      <color indexed="12"/>
      <name val="Arial"/>
      <family val="2"/>
    </font>
    <font>
      <b/>
      <i/>
      <sz val="9"/>
      <color rgb="FFFF0000"/>
      <name val="Arial Narrow"/>
      <family val="2"/>
    </font>
    <font>
      <b/>
      <sz val="10"/>
      <color rgb="FFFF0000"/>
      <name val="Arial"/>
      <family val="2"/>
    </font>
    <font>
      <b/>
      <i/>
      <u/>
      <sz val="9"/>
      <color rgb="FF150179"/>
      <name val="Arial Narrow"/>
      <family val="2"/>
    </font>
    <font>
      <b/>
      <sz val="18"/>
      <color rgb="FF150179"/>
      <name val="Arial"/>
      <family val="2"/>
    </font>
    <font>
      <sz val="18"/>
      <name val="Arial"/>
      <family val="2"/>
    </font>
    <font>
      <b/>
      <sz val="8"/>
      <color theme="0"/>
      <name val="Arial"/>
      <family val="2"/>
    </font>
    <font>
      <sz val="16"/>
      <color rgb="FFFF0000"/>
      <name val="Arial"/>
      <family val="2"/>
    </font>
    <font>
      <sz val="12"/>
      <color rgb="FF150179"/>
      <name val="Arial"/>
      <family val="2"/>
    </font>
    <font>
      <sz val="16"/>
      <name val="Arial"/>
      <family val="2"/>
    </font>
    <font>
      <sz val="9"/>
      <color rgb="FF150179"/>
      <name val="Arial Narrow"/>
      <family val="2"/>
    </font>
    <font>
      <sz val="7"/>
      <color rgb="FF150179"/>
      <name val="Arial"/>
      <family val="2"/>
    </font>
    <font>
      <b/>
      <sz val="9"/>
      <color rgb="FF150179"/>
      <name val="Arial Narrow"/>
      <family val="2"/>
    </font>
    <font>
      <b/>
      <sz val="9"/>
      <color theme="0"/>
      <name val="Arial"/>
      <family val="2"/>
    </font>
    <font>
      <sz val="8"/>
      <color theme="0"/>
      <name val="Calibri"/>
      <family val="2"/>
      <charset val="1"/>
    </font>
  </fonts>
  <fills count="29">
    <fill>
      <patternFill patternType="none"/>
    </fill>
    <fill>
      <patternFill patternType="gray125"/>
    </fill>
    <fill>
      <patternFill patternType="solid">
        <fgColor indexed="41"/>
        <bgColor indexed="26"/>
      </patternFill>
    </fill>
    <fill>
      <patternFill patternType="solid">
        <fgColor indexed="57"/>
        <bgColor indexed="55"/>
      </patternFill>
    </fill>
    <fill>
      <patternFill patternType="solid">
        <fgColor indexed="42"/>
        <bgColor indexed="41"/>
      </patternFill>
    </fill>
    <fill>
      <patternFill patternType="solid">
        <fgColor indexed="31"/>
        <bgColor indexed="44"/>
      </patternFill>
    </fill>
    <fill>
      <patternFill patternType="solid">
        <fgColor indexed="26"/>
        <bgColor indexed="64"/>
      </patternFill>
    </fill>
    <fill>
      <patternFill patternType="solid">
        <fgColor indexed="26"/>
        <bgColor indexed="9"/>
      </patternFill>
    </fill>
    <fill>
      <patternFill patternType="solid">
        <fgColor indexed="27"/>
        <bgColor indexed="9"/>
      </patternFill>
    </fill>
    <fill>
      <patternFill patternType="solid">
        <fgColor rgb="FFFFFF00"/>
        <bgColor indexed="64"/>
      </patternFill>
    </fill>
    <fill>
      <patternFill patternType="solid">
        <fgColor theme="0" tint="-4.9989318521683403E-2"/>
        <bgColor indexed="64"/>
      </patternFill>
    </fill>
    <fill>
      <patternFill patternType="solid">
        <fgColor theme="0"/>
        <bgColor indexed="26"/>
      </patternFill>
    </fill>
    <fill>
      <patternFill patternType="solid">
        <fgColor theme="4" tint="0.79998168889431442"/>
        <bgColor indexed="64"/>
      </patternFill>
    </fill>
    <fill>
      <patternFill patternType="solid">
        <fgColor theme="7" tint="0.79998168889431442"/>
        <bgColor indexed="9"/>
      </patternFill>
    </fill>
    <fill>
      <patternFill patternType="solid">
        <fgColor theme="4" tint="0.79998168889431442"/>
        <bgColor indexed="41"/>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rgb="FFB3FFFF"/>
        <bgColor indexed="64"/>
      </patternFill>
    </fill>
    <fill>
      <patternFill patternType="solid">
        <fgColor rgb="FFB3FFFF"/>
        <bgColor indexed="41"/>
      </patternFill>
    </fill>
    <fill>
      <patternFill patternType="solid">
        <fgColor rgb="FF66FFFF"/>
        <bgColor indexed="64"/>
      </patternFill>
    </fill>
    <fill>
      <patternFill patternType="solid">
        <fgColor rgb="FF33CCCC"/>
        <bgColor indexed="64"/>
      </patternFill>
    </fill>
    <fill>
      <patternFill patternType="solid">
        <fgColor rgb="FFCAF2F1"/>
        <bgColor indexed="64"/>
      </patternFill>
    </fill>
    <fill>
      <patternFill patternType="solid">
        <fgColor rgb="FFCAF2F1"/>
        <bgColor indexed="41"/>
      </patternFill>
    </fill>
    <fill>
      <patternFill patternType="solid">
        <fgColor rgb="FFCAF2F1"/>
        <bgColor indexed="9"/>
      </patternFill>
    </fill>
    <fill>
      <patternFill patternType="solid">
        <fgColor rgb="FF7191D1"/>
        <bgColor indexed="64"/>
      </patternFill>
    </fill>
    <fill>
      <patternFill patternType="solid">
        <fgColor rgb="FF7191D1"/>
        <bgColor indexed="41"/>
      </patternFill>
    </fill>
    <fill>
      <patternFill patternType="solid">
        <fgColor rgb="FF33CCCC"/>
        <bgColor indexed="41"/>
      </patternFill>
    </fill>
    <fill>
      <patternFill patternType="solid">
        <fgColor indexed="9"/>
        <bgColor indexed="26"/>
      </patternFill>
    </fill>
  </fills>
  <borders count="130">
    <border>
      <left/>
      <right/>
      <top/>
      <bottom/>
      <diagonal/>
    </border>
    <border>
      <left style="hair">
        <color indexed="8"/>
      </left>
      <right style="hair">
        <color indexed="8"/>
      </right>
      <top style="hair">
        <color indexed="8"/>
      </top>
      <bottom style="hair">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hair">
        <color indexed="8"/>
      </right>
      <top style="hair">
        <color indexed="8"/>
      </top>
      <bottom style="hair">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right style="medium">
        <color indexed="8"/>
      </right>
      <top/>
      <bottom/>
      <diagonal/>
    </border>
    <border>
      <left style="thin">
        <color indexed="8"/>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thin">
        <color indexed="8"/>
      </top>
      <bottom style="thin">
        <color indexed="8"/>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8"/>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hair">
        <color indexed="8"/>
      </left>
      <right style="hair">
        <color indexed="8"/>
      </right>
      <top style="hair">
        <color indexed="8"/>
      </top>
      <bottom/>
      <diagonal/>
    </border>
    <border>
      <left style="medium">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8"/>
      </top>
      <bottom/>
      <diagonal/>
    </border>
    <border>
      <left style="medium">
        <color indexed="64"/>
      </left>
      <right style="medium">
        <color indexed="64"/>
      </right>
      <top style="hair">
        <color indexed="8"/>
      </top>
      <bottom style="hair">
        <color indexed="8"/>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8"/>
      </right>
      <top/>
      <bottom/>
      <diagonal/>
    </border>
    <border>
      <left style="medium">
        <color indexed="8"/>
      </left>
      <right style="medium">
        <color indexed="64"/>
      </right>
      <top/>
      <bottom/>
      <diagonal/>
    </border>
    <border>
      <left/>
      <right style="medium">
        <color indexed="8"/>
      </right>
      <top style="medium">
        <color indexed="8"/>
      </top>
      <bottom style="medium">
        <color indexed="8"/>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64"/>
      </top>
      <bottom style="medium">
        <color indexed="64"/>
      </bottom>
      <diagonal/>
    </border>
    <border>
      <left style="thin">
        <color indexed="8"/>
      </left>
      <right style="thin">
        <color indexed="8"/>
      </right>
      <top/>
      <bottom style="thin">
        <color indexed="8"/>
      </bottom>
      <diagonal/>
    </border>
    <border>
      <left/>
      <right/>
      <top style="thin">
        <color indexed="8"/>
      </top>
      <bottom/>
      <diagonal/>
    </border>
    <border>
      <left style="medium">
        <color indexed="64"/>
      </left>
      <right style="hair">
        <color indexed="8"/>
      </right>
      <top style="medium">
        <color indexed="64"/>
      </top>
      <bottom/>
      <diagonal/>
    </border>
    <border>
      <left style="hair">
        <color indexed="8"/>
      </left>
      <right style="hair">
        <color indexed="8"/>
      </right>
      <top style="medium">
        <color indexed="64"/>
      </top>
      <bottom style="hair">
        <color indexed="8"/>
      </bottom>
      <diagonal/>
    </border>
    <border>
      <left style="hair">
        <color indexed="8"/>
      </left>
      <right style="medium">
        <color indexed="64"/>
      </right>
      <top style="medium">
        <color indexed="64"/>
      </top>
      <bottom style="hair">
        <color indexed="8"/>
      </bottom>
      <diagonal/>
    </border>
    <border>
      <left/>
      <right style="medium">
        <color indexed="64"/>
      </right>
      <top style="thin">
        <color indexed="8"/>
      </top>
      <bottom/>
      <diagonal/>
    </border>
    <border>
      <left style="medium">
        <color indexed="64"/>
      </left>
      <right style="thin">
        <color indexed="64"/>
      </right>
      <top/>
      <bottom style="medium">
        <color indexed="64"/>
      </bottom>
      <diagonal/>
    </border>
    <border>
      <left style="medium">
        <color indexed="8"/>
      </left>
      <right/>
      <top/>
      <bottom style="medium">
        <color indexed="64"/>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hair">
        <color indexed="8"/>
      </left>
      <right style="hair">
        <color indexed="8"/>
      </right>
      <top/>
      <bottom style="hair">
        <color indexed="8"/>
      </bottom>
      <diagonal/>
    </border>
    <border>
      <left style="hair">
        <color indexed="8"/>
      </left>
      <right/>
      <top style="hair">
        <color indexed="8"/>
      </top>
      <bottom style="hair">
        <color indexed="8"/>
      </bottom>
      <diagonal/>
    </border>
    <border>
      <left style="hair">
        <color indexed="8"/>
      </left>
      <right/>
      <top/>
      <bottom style="hair">
        <color indexed="8"/>
      </bottom>
      <diagonal/>
    </border>
    <border>
      <left style="thin">
        <color indexed="64"/>
      </left>
      <right style="medium">
        <color indexed="64"/>
      </right>
      <top/>
      <bottom style="medium">
        <color indexed="64"/>
      </bottom>
      <diagonal/>
    </border>
    <border>
      <left style="medium">
        <color indexed="64"/>
      </left>
      <right style="hair">
        <color indexed="8"/>
      </right>
      <top/>
      <bottom style="hair">
        <color indexed="8"/>
      </bottom>
      <diagonal/>
    </border>
    <border>
      <left style="hair">
        <color indexed="8"/>
      </left>
      <right style="medium">
        <color indexed="64"/>
      </right>
      <top/>
      <bottom style="hair">
        <color indexed="8"/>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8"/>
      </left>
      <right style="hair">
        <color indexed="8"/>
      </right>
      <top/>
      <bottom/>
      <diagonal/>
    </border>
    <border>
      <left/>
      <right/>
      <top/>
      <bottom style="hair">
        <color indexed="8"/>
      </bottom>
      <diagonal/>
    </border>
    <border>
      <left/>
      <right style="hair">
        <color indexed="8"/>
      </right>
      <top style="hair">
        <color indexed="8"/>
      </top>
      <bottom/>
      <diagonal/>
    </border>
    <border>
      <left/>
      <right style="hair">
        <color indexed="8"/>
      </right>
      <top/>
      <bottom/>
      <diagonal/>
    </border>
    <border>
      <left/>
      <right style="hair">
        <color indexed="8"/>
      </right>
      <top/>
      <bottom style="hair">
        <color indexed="8"/>
      </bottom>
      <diagonal/>
    </border>
  </borders>
  <cellStyleXfs count="7">
    <xf numFmtId="0" fontId="0" fillId="0" borderId="0"/>
    <xf numFmtId="0" fontId="9" fillId="0" borderId="0" applyNumberFormat="0" applyFill="0" applyBorder="0" applyAlignment="0" applyProtection="0"/>
    <xf numFmtId="0" fontId="1" fillId="0" borderId="0"/>
    <xf numFmtId="171" fontId="22" fillId="0" borderId="0" applyFill="0" applyBorder="0" applyAlignment="0" applyProtection="0"/>
    <xf numFmtId="173" fontId="13" fillId="0" borderId="0" applyFill="0" applyBorder="0" applyAlignment="0" applyProtection="0"/>
    <xf numFmtId="167" fontId="22" fillId="0" borderId="0" applyFill="0" applyBorder="0" applyAlignment="0" applyProtection="0"/>
    <xf numFmtId="0" fontId="144" fillId="0" borderId="0"/>
  </cellStyleXfs>
  <cellXfs count="1568">
    <xf numFmtId="0" fontId="0" fillId="0" borderId="0" xfId="0"/>
    <xf numFmtId="0" fontId="1" fillId="0" borderId="0" xfId="2"/>
    <xf numFmtId="0" fontId="3" fillId="0" borderId="0" xfId="2" applyFont="1"/>
    <xf numFmtId="0" fontId="5" fillId="0" borderId="0" xfId="2" applyFont="1"/>
    <xf numFmtId="164" fontId="3" fillId="0" borderId="1" xfId="2" applyNumberFormat="1" applyFont="1" applyBorder="1"/>
    <xf numFmtId="0" fontId="1" fillId="0" borderId="0" xfId="2" applyAlignment="1">
      <alignment wrapText="1"/>
    </xf>
    <xf numFmtId="1" fontId="0" fillId="0" borderId="0" xfId="0" applyNumberFormat="1"/>
    <xf numFmtId="10" fontId="0" fillId="0" borderId="0" xfId="0" applyNumberFormat="1"/>
    <xf numFmtId="165" fontId="0" fillId="0" borderId="0" xfId="0" applyNumberFormat="1"/>
    <xf numFmtId="166" fontId="0" fillId="0" borderId="0" xfId="0" applyNumberFormat="1"/>
    <xf numFmtId="0" fontId="7" fillId="0" borderId="0" xfId="2" applyFont="1"/>
    <xf numFmtId="0" fontId="9" fillId="0" borderId="0" xfId="1" applyNumberFormat="1" applyFill="1" applyBorder="1" applyAlignment="1" applyProtection="1"/>
    <xf numFmtId="0" fontId="7" fillId="0" borderId="0" xfId="2" applyFont="1" applyAlignment="1">
      <alignment wrapText="1"/>
    </xf>
    <xf numFmtId="0" fontId="12" fillId="4" borderId="0" xfId="0" applyFont="1" applyFill="1" applyAlignment="1">
      <alignment horizontal="left"/>
    </xf>
    <xf numFmtId="0" fontId="0" fillId="4" borderId="0" xfId="0" applyFill="1"/>
    <xf numFmtId="0" fontId="12" fillId="0" borderId="0" xfId="0" applyFont="1"/>
    <xf numFmtId="0" fontId="0" fillId="0" borderId="6" xfId="0" applyBorder="1"/>
    <xf numFmtId="0" fontId="0" fillId="0" borderId="7" xfId="0" applyBorder="1" applyAlignment="1">
      <alignment horizontal="left"/>
    </xf>
    <xf numFmtId="0" fontId="0" fillId="0" borderId="7" xfId="0" applyBorder="1"/>
    <xf numFmtId="0" fontId="0" fillId="4" borderId="7" xfId="0" applyFill="1" applyBorder="1" applyAlignment="1">
      <alignment horizontal="left"/>
    </xf>
    <xf numFmtId="0" fontId="6" fillId="4" borderId="7" xfId="0" applyFont="1" applyFill="1" applyBorder="1" applyAlignment="1">
      <alignment horizontal="right"/>
    </xf>
    <xf numFmtId="165" fontId="0" fillId="0" borderId="7" xfId="4" applyNumberFormat="1" applyFont="1" applyFill="1" applyBorder="1" applyAlignment="1" applyProtection="1"/>
    <xf numFmtId="165" fontId="6" fillId="0" borderId="7" xfId="4" applyNumberFormat="1" applyFont="1" applyFill="1" applyBorder="1" applyAlignment="1" applyProtection="1"/>
    <xf numFmtId="173" fontId="0" fillId="4" borderId="7" xfId="4" applyFont="1" applyFill="1" applyBorder="1" applyAlignment="1" applyProtection="1"/>
    <xf numFmtId="0" fontId="0" fillId="0" borderId="8" xfId="0" applyBorder="1" applyAlignment="1">
      <alignment horizontal="left"/>
    </xf>
    <xf numFmtId="174" fontId="14" fillId="0" borderId="8" xfId="4" applyNumberFormat="1" applyFont="1" applyFill="1" applyBorder="1" applyAlignment="1" applyProtection="1"/>
    <xf numFmtId="0" fontId="0" fillId="0" borderId="0" xfId="0" applyAlignment="1">
      <alignment horizontal="left"/>
    </xf>
    <xf numFmtId="173" fontId="0" fillId="0" borderId="0" xfId="4" applyFont="1" applyFill="1" applyBorder="1" applyAlignment="1" applyProtection="1"/>
    <xf numFmtId="173" fontId="6" fillId="0" borderId="0" xfId="4" applyFont="1" applyFill="1" applyBorder="1" applyAlignment="1" applyProtection="1">
      <alignment horizontal="center"/>
    </xf>
    <xf numFmtId="0" fontId="0" fillId="4" borderId="9" xfId="0" applyFill="1" applyBorder="1" applyAlignment="1">
      <alignment horizontal="left"/>
    </xf>
    <xf numFmtId="165" fontId="14" fillId="4" borderId="10" xfId="4" applyNumberFormat="1" applyFont="1" applyFill="1" applyBorder="1" applyAlignment="1" applyProtection="1"/>
    <xf numFmtId="173" fontId="0" fillId="4" borderId="11" xfId="4" applyFont="1" applyFill="1" applyBorder="1" applyAlignment="1" applyProtection="1">
      <alignment horizontal="center"/>
    </xf>
    <xf numFmtId="0" fontId="15" fillId="0" borderId="12" xfId="0" applyFont="1" applyBorder="1" applyAlignment="1">
      <alignment horizontal="left"/>
    </xf>
    <xf numFmtId="175" fontId="0" fillId="0" borderId="13" xfId="4" applyNumberFormat="1" applyFont="1" applyFill="1" applyBorder="1" applyAlignment="1" applyProtection="1"/>
    <xf numFmtId="173" fontId="0" fillId="0" borderId="14" xfId="4" applyFont="1" applyFill="1" applyBorder="1" applyAlignment="1" applyProtection="1">
      <alignment horizontal="center"/>
    </xf>
    <xf numFmtId="0" fontId="6" fillId="4" borderId="0" xfId="0" applyFont="1" applyFill="1" applyAlignment="1">
      <alignment horizontal="left"/>
    </xf>
    <xf numFmtId="173" fontId="0" fillId="4" borderId="0" xfId="4" applyFont="1" applyFill="1" applyBorder="1" applyAlignment="1" applyProtection="1"/>
    <xf numFmtId="174" fontId="0" fillId="0" borderId="0" xfId="4" applyNumberFormat="1" applyFont="1" applyFill="1" applyBorder="1" applyAlignment="1" applyProtection="1"/>
    <xf numFmtId="174" fontId="0" fillId="0" borderId="0" xfId="0" applyNumberFormat="1"/>
    <xf numFmtId="173" fontId="0" fillId="0" borderId="13" xfId="4" applyFont="1" applyFill="1" applyBorder="1" applyAlignment="1" applyProtection="1"/>
    <xf numFmtId="0" fontId="0" fillId="5" borderId="13" xfId="0" applyFill="1" applyBorder="1"/>
    <xf numFmtId="173" fontId="0" fillId="0" borderId="0" xfId="0" applyNumberFormat="1"/>
    <xf numFmtId="0" fontId="6" fillId="0" borderId="0" xfId="0" applyFont="1"/>
    <xf numFmtId="173" fontId="6" fillId="0" borderId="0" xfId="4" applyFont="1" applyFill="1" applyBorder="1" applyAlignment="1" applyProtection="1"/>
    <xf numFmtId="0" fontId="0" fillId="4" borderId="10" xfId="0" applyFill="1" applyBorder="1"/>
    <xf numFmtId="0" fontId="0" fillId="4" borderId="11" xfId="0" applyFill="1" applyBorder="1"/>
    <xf numFmtId="165" fontId="0" fillId="0" borderId="15" xfId="0" applyNumberFormat="1" applyBorder="1"/>
    <xf numFmtId="0" fontId="11" fillId="0" borderId="0" xfId="2" applyFont="1"/>
    <xf numFmtId="0" fontId="11" fillId="2" borderId="17" xfId="2" applyFont="1" applyFill="1" applyBorder="1" applyAlignment="1">
      <alignment horizontal="center"/>
    </xf>
    <xf numFmtId="0" fontId="11" fillId="2" borderId="3" xfId="2" applyFont="1" applyFill="1" applyBorder="1" applyAlignment="1">
      <alignment horizontal="center"/>
    </xf>
    <xf numFmtId="0" fontId="3" fillId="0" borderId="2" xfId="2" applyFont="1" applyBorder="1"/>
    <xf numFmtId="0" fontId="3" fillId="0" borderId="4" xfId="2" applyFont="1" applyBorder="1"/>
    <xf numFmtId="0" fontId="3" fillId="0" borderId="0" xfId="2" applyFont="1" applyAlignment="1">
      <alignment wrapText="1"/>
    </xf>
    <xf numFmtId="176" fontId="3" fillId="0" borderId="0" xfId="2" applyNumberFormat="1" applyFont="1"/>
    <xf numFmtId="0" fontId="17" fillId="0" borderId="0" xfId="2" applyFont="1"/>
    <xf numFmtId="176" fontId="17" fillId="0" borderId="0" xfId="2" applyNumberFormat="1" applyFont="1"/>
    <xf numFmtId="0" fontId="17" fillId="0" borderId="0" xfId="2" applyFont="1" applyAlignment="1">
      <alignment wrapText="1"/>
    </xf>
    <xf numFmtId="0" fontId="18" fillId="0" borderId="0" xfId="2" applyFont="1"/>
    <xf numFmtId="176" fontId="18" fillId="0" borderId="0" xfId="2" applyNumberFormat="1" applyFont="1"/>
    <xf numFmtId="0" fontId="3" fillId="0" borderId="3" xfId="2" applyFont="1" applyBorder="1"/>
    <xf numFmtId="176" fontId="3" fillId="0" borderId="3" xfId="2" applyNumberFormat="1" applyFont="1" applyBorder="1"/>
    <xf numFmtId="0" fontId="3" fillId="0" borderId="0" xfId="2" applyFont="1" applyAlignment="1">
      <alignment horizontal="left"/>
    </xf>
    <xf numFmtId="0" fontId="3" fillId="0" borderId="17" xfId="2" applyFont="1" applyBorder="1"/>
    <xf numFmtId="176" fontId="3" fillId="0" borderId="17" xfId="2" applyNumberFormat="1" applyFont="1" applyBorder="1"/>
    <xf numFmtId="0" fontId="19" fillId="0" borderId="0" xfId="2" applyFont="1"/>
    <xf numFmtId="0" fontId="20" fillId="0" borderId="0" xfId="2" applyFont="1"/>
    <xf numFmtId="0" fontId="21" fillId="0" borderId="0" xfId="2" applyFont="1"/>
    <xf numFmtId="0" fontId="43" fillId="0" borderId="0" xfId="2" applyFont="1"/>
    <xf numFmtId="0" fontId="44" fillId="0" borderId="0" xfId="2" applyFont="1"/>
    <xf numFmtId="0" fontId="45" fillId="0" borderId="0" xfId="2" applyFont="1"/>
    <xf numFmtId="0" fontId="46" fillId="0" borderId="0" xfId="0" applyFont="1" applyAlignment="1">
      <alignment horizontal="left"/>
    </xf>
    <xf numFmtId="0" fontId="25" fillId="0" borderId="0" xfId="2" applyFont="1"/>
    <xf numFmtId="178" fontId="30" fillId="0" borderId="0" xfId="2" applyNumberFormat="1" applyFont="1" applyAlignment="1">
      <alignment horizontal="left"/>
    </xf>
    <xf numFmtId="177" fontId="27" fillId="0" borderId="3" xfId="2" applyNumberFormat="1" applyFont="1" applyBorder="1"/>
    <xf numFmtId="177" fontId="23" fillId="0" borderId="3" xfId="2" applyNumberFormat="1" applyFont="1" applyBorder="1"/>
    <xf numFmtId="0" fontId="31" fillId="0" borderId="0" xfId="2" applyFont="1" applyAlignment="1">
      <alignment horizontal="right"/>
    </xf>
    <xf numFmtId="177" fontId="23" fillId="0" borderId="0" xfId="2" applyNumberFormat="1" applyFont="1"/>
    <xf numFmtId="0" fontId="1" fillId="0" borderId="3" xfId="2" applyBorder="1"/>
    <xf numFmtId="0" fontId="33" fillId="0" borderId="3" xfId="2" applyFont="1" applyBorder="1"/>
    <xf numFmtId="0" fontId="27" fillId="0" borderId="3" xfId="2" applyFont="1" applyBorder="1"/>
    <xf numFmtId="177" fontId="34" fillId="0" borderId="3" xfId="2" applyNumberFormat="1" applyFont="1" applyBorder="1"/>
    <xf numFmtId="1" fontId="1" fillId="0" borderId="0" xfId="2" applyNumberFormat="1"/>
    <xf numFmtId="3" fontId="1" fillId="0" borderId="0" xfId="2" applyNumberFormat="1"/>
    <xf numFmtId="177" fontId="1" fillId="0" borderId="0" xfId="2" applyNumberFormat="1"/>
    <xf numFmtId="0" fontId="23" fillId="0" borderId="3" xfId="2" applyFont="1" applyBorder="1"/>
    <xf numFmtId="177" fontId="27" fillId="6" borderId="3" xfId="2" applyNumberFormat="1" applyFont="1" applyFill="1" applyBorder="1"/>
    <xf numFmtId="177" fontId="27" fillId="9" borderId="3" xfId="2" applyNumberFormat="1" applyFont="1" applyFill="1" applyBorder="1" applyProtection="1">
      <protection locked="0"/>
    </xf>
    <xf numFmtId="0" fontId="47" fillId="0" borderId="0" xfId="0" applyFont="1"/>
    <xf numFmtId="177" fontId="27" fillId="10" borderId="3" xfId="2" applyNumberFormat="1" applyFont="1" applyFill="1" applyBorder="1"/>
    <xf numFmtId="177" fontId="29" fillId="10" borderId="3" xfId="2" applyNumberFormat="1" applyFont="1" applyFill="1" applyBorder="1"/>
    <xf numFmtId="0" fontId="0" fillId="0" borderId="0" xfId="0" applyAlignment="1">
      <alignment wrapText="1"/>
    </xf>
    <xf numFmtId="0" fontId="0" fillId="0" borderId="24" xfId="0" applyBorder="1" applyAlignment="1" applyProtection="1">
      <alignment wrapText="1"/>
      <protection locked="0"/>
    </xf>
    <xf numFmtId="0" fontId="0" fillId="0" borderId="25" xfId="0" applyBorder="1" applyAlignment="1" applyProtection="1">
      <alignment wrapText="1"/>
      <protection locked="0"/>
    </xf>
    <xf numFmtId="0" fontId="0" fillId="0" borderId="27" xfId="0" applyBorder="1" applyAlignment="1" applyProtection="1">
      <alignment wrapText="1"/>
      <protection locked="0"/>
    </xf>
    <xf numFmtId="0" fontId="0" fillId="0" borderId="31" xfId="0" applyBorder="1" applyAlignment="1" applyProtection="1">
      <alignment wrapText="1"/>
      <protection locked="0"/>
    </xf>
    <xf numFmtId="0" fontId="15" fillId="0" borderId="24" xfId="0" applyFont="1" applyBorder="1" applyAlignment="1" applyProtection="1">
      <alignment wrapText="1"/>
      <protection locked="0"/>
    </xf>
    <xf numFmtId="0" fontId="15" fillId="0" borderId="27" xfId="0" applyFont="1" applyBorder="1" applyAlignment="1" applyProtection="1">
      <alignment wrapText="1"/>
      <protection locked="0"/>
    </xf>
    <xf numFmtId="1" fontId="3" fillId="0" borderId="3" xfId="2" applyNumberFormat="1" applyFont="1" applyBorder="1"/>
    <xf numFmtId="1" fontId="3" fillId="0" borderId="0" xfId="2" applyNumberFormat="1" applyFont="1"/>
    <xf numFmtId="0" fontId="55" fillId="0" borderId="0" xfId="2" applyFont="1"/>
    <xf numFmtId="3" fontId="3" fillId="11" borderId="35" xfId="2" applyNumberFormat="1" applyFont="1" applyFill="1" applyBorder="1"/>
    <xf numFmtId="0" fontId="15" fillId="0" borderId="25" xfId="0" applyFont="1" applyBorder="1" applyAlignment="1" applyProtection="1">
      <alignment wrapText="1"/>
      <protection locked="0"/>
    </xf>
    <xf numFmtId="0" fontId="56" fillId="0" borderId="0" xfId="2" applyFont="1"/>
    <xf numFmtId="3" fontId="55" fillId="11" borderId="35" xfId="2" applyNumberFormat="1" applyFont="1" applyFill="1" applyBorder="1"/>
    <xf numFmtId="3" fontId="55" fillId="11" borderId="40" xfId="2" applyNumberFormat="1" applyFont="1" applyFill="1" applyBorder="1"/>
    <xf numFmtId="0" fontId="59" fillId="2" borderId="3" xfId="2" applyFont="1" applyFill="1" applyBorder="1" applyAlignment="1">
      <alignment horizontal="center"/>
    </xf>
    <xf numFmtId="0" fontId="40" fillId="0" borderId="0" xfId="2" applyFont="1"/>
    <xf numFmtId="0" fontId="41" fillId="0" borderId="0" xfId="2" applyFont="1" applyAlignment="1">
      <alignment horizontal="center"/>
    </xf>
    <xf numFmtId="0" fontId="1" fillId="0" borderId="24" xfId="2" applyBorder="1"/>
    <xf numFmtId="9" fontId="0" fillId="0" borderId="0" xfId="0" applyNumberFormat="1"/>
    <xf numFmtId="0" fontId="0" fillId="0" borderId="0" xfId="0" applyAlignment="1" applyProtection="1">
      <alignment horizontal="left" wrapText="1"/>
      <protection locked="0"/>
    </xf>
    <xf numFmtId="0" fontId="0" fillId="0" borderId="45" xfId="0" applyBorder="1"/>
    <xf numFmtId="0" fontId="0" fillId="0" borderId="47" xfId="0" applyBorder="1"/>
    <xf numFmtId="0" fontId="0" fillId="0" borderId="20" xfId="0" applyBorder="1" applyAlignment="1" applyProtection="1">
      <alignment wrapText="1"/>
      <protection locked="0"/>
    </xf>
    <xf numFmtId="0" fontId="1" fillId="0" borderId="39" xfId="2" applyBorder="1"/>
    <xf numFmtId="0" fontId="1" fillId="0" borderId="51" xfId="2" applyBorder="1"/>
    <xf numFmtId="0" fontId="1" fillId="0" borderId="29" xfId="2" applyBorder="1"/>
    <xf numFmtId="0" fontId="1" fillId="0" borderId="52" xfId="2" applyBorder="1"/>
    <xf numFmtId="0" fontId="1" fillId="0" borderId="38" xfId="2" applyBorder="1"/>
    <xf numFmtId="0" fontId="1" fillId="0" borderId="53" xfId="2" applyBorder="1"/>
    <xf numFmtId="0" fontId="65" fillId="0" borderId="0" xfId="2" applyFont="1"/>
    <xf numFmtId="0" fontId="66" fillId="0" borderId="0" xfId="0" applyFont="1" applyAlignment="1">
      <alignment wrapText="1"/>
    </xf>
    <xf numFmtId="0" fontId="65" fillId="0" borderId="49" xfId="2" applyFont="1" applyBorder="1"/>
    <xf numFmtId="0" fontId="65" fillId="0" borderId="46" xfId="2" applyFont="1" applyBorder="1"/>
    <xf numFmtId="0" fontId="65" fillId="0" borderId="45" xfId="2" applyFont="1" applyBorder="1"/>
    <xf numFmtId="0" fontId="65" fillId="0" borderId="47" xfId="2" applyFont="1" applyBorder="1"/>
    <xf numFmtId="10" fontId="65" fillId="0" borderId="47" xfId="2" applyNumberFormat="1" applyFont="1" applyBorder="1"/>
    <xf numFmtId="1" fontId="65" fillId="0" borderId="47" xfId="2" applyNumberFormat="1" applyFont="1" applyBorder="1"/>
    <xf numFmtId="0" fontId="65" fillId="0" borderId="58" xfId="2" applyFont="1" applyBorder="1"/>
    <xf numFmtId="1" fontId="65" fillId="0" borderId="60" xfId="2" applyNumberFormat="1" applyFont="1" applyBorder="1"/>
    <xf numFmtId="0" fontId="6" fillId="0" borderId="6" xfId="0" applyFont="1" applyBorder="1" applyAlignment="1">
      <alignment horizontal="center"/>
    </xf>
    <xf numFmtId="0" fontId="0" fillId="0" borderId="7" xfId="0" applyBorder="1" applyAlignment="1">
      <alignment horizontal="right"/>
    </xf>
    <xf numFmtId="0" fontId="0" fillId="4" borderId="7" xfId="0" applyFill="1" applyBorder="1"/>
    <xf numFmtId="165" fontId="0" fillId="0" borderId="7" xfId="0" applyNumberFormat="1" applyBorder="1"/>
    <xf numFmtId="3" fontId="0" fillId="4" borderId="7" xfId="0" applyNumberFormat="1" applyFill="1" applyBorder="1"/>
    <xf numFmtId="3" fontId="0" fillId="0" borderId="7" xfId="0" applyNumberFormat="1" applyBorder="1"/>
    <xf numFmtId="0" fontId="12" fillId="14" borderId="0" xfId="0" applyFont="1" applyFill="1" applyAlignment="1">
      <alignment horizontal="left"/>
    </xf>
    <xf numFmtId="0" fontId="0" fillId="14" borderId="0" xfId="0" applyFill="1"/>
    <xf numFmtId="0" fontId="0" fillId="12" borderId="0" xfId="0" applyFill="1"/>
    <xf numFmtId="0" fontId="1" fillId="0" borderId="49" xfId="2" applyBorder="1"/>
    <xf numFmtId="0" fontId="1" fillId="0" borderId="50" xfId="2" applyBorder="1"/>
    <xf numFmtId="0" fontId="1" fillId="0" borderId="46" xfId="2" applyBorder="1"/>
    <xf numFmtId="0" fontId="0" fillId="0" borderId="18" xfId="0" applyBorder="1" applyAlignment="1">
      <alignment wrapText="1"/>
    </xf>
    <xf numFmtId="49" fontId="0" fillId="0" borderId="18" xfId="0" applyNumberFormat="1" applyBorder="1" applyAlignment="1">
      <alignment wrapText="1"/>
    </xf>
    <xf numFmtId="0" fontId="1" fillId="0" borderId="45" xfId="2" applyBorder="1"/>
    <xf numFmtId="0" fontId="1" fillId="0" borderId="47" xfId="2" applyBorder="1"/>
    <xf numFmtId="0" fontId="1" fillId="0" borderId="18" xfId="2" applyBorder="1"/>
    <xf numFmtId="0" fontId="1" fillId="0" borderId="23" xfId="2" applyBorder="1"/>
    <xf numFmtId="0" fontId="1" fillId="0" borderId="27" xfId="2" applyBorder="1"/>
    <xf numFmtId="0" fontId="1" fillId="0" borderId="60" xfId="2" applyBorder="1"/>
    <xf numFmtId="173" fontId="22" fillId="14" borderId="50" xfId="4" applyFont="1" applyFill="1" applyBorder="1" applyAlignment="1" applyProtection="1"/>
    <xf numFmtId="0" fontId="0" fillId="14" borderId="50" xfId="0" applyFill="1" applyBorder="1"/>
    <xf numFmtId="0" fontId="0" fillId="12" borderId="46" xfId="0" applyFill="1" applyBorder="1"/>
    <xf numFmtId="0" fontId="12" fillId="0" borderId="58" xfId="0" applyFont="1" applyBorder="1"/>
    <xf numFmtId="0" fontId="6" fillId="0" borderId="0" xfId="0" applyFont="1" applyAlignment="1">
      <alignment horizontal="center" vertical="center" wrapText="1"/>
    </xf>
    <xf numFmtId="0" fontId="0" fillId="0" borderId="0" xfId="0" applyAlignment="1">
      <alignment vertical="center" wrapText="1"/>
    </xf>
    <xf numFmtId="3" fontId="0" fillId="0" borderId="0" xfId="0" applyNumberFormat="1" applyAlignment="1">
      <alignment vertical="center" wrapText="1"/>
    </xf>
    <xf numFmtId="0" fontId="0" fillId="0" borderId="16" xfId="0" applyBorder="1" applyAlignment="1">
      <alignment horizontal="right"/>
    </xf>
    <xf numFmtId="173" fontId="0" fillId="4" borderId="16" xfId="4" applyFont="1" applyFill="1" applyBorder="1" applyAlignment="1" applyProtection="1"/>
    <xf numFmtId="3" fontId="0" fillId="0" borderId="16" xfId="0" applyNumberFormat="1" applyBorder="1" applyAlignment="1">
      <alignment horizontal="right"/>
    </xf>
    <xf numFmtId="174" fontId="14" fillId="0" borderId="14" xfId="4" applyNumberFormat="1" applyFont="1" applyFill="1" applyBorder="1" applyAlignment="1" applyProtection="1"/>
    <xf numFmtId="0" fontId="0" fillId="0" borderId="45" xfId="0" applyBorder="1" applyAlignment="1">
      <alignment horizontal="left"/>
    </xf>
    <xf numFmtId="0" fontId="0" fillId="0" borderId="47" xfId="0" applyBorder="1" applyAlignment="1">
      <alignment horizontal="left"/>
    </xf>
    <xf numFmtId="0" fontId="0" fillId="0" borderId="76" xfId="0" applyBorder="1" applyAlignment="1">
      <alignment horizontal="left"/>
    </xf>
    <xf numFmtId="0" fontId="0" fillId="0" borderId="77" xfId="0" applyBorder="1" applyAlignment="1">
      <alignment horizontal="left"/>
    </xf>
    <xf numFmtId="0" fontId="0" fillId="4" borderId="45" xfId="0" applyFill="1" applyBorder="1" applyAlignment="1">
      <alignment horizontal="left"/>
    </xf>
    <xf numFmtId="0" fontId="0" fillId="4" borderId="47" xfId="0" applyFill="1" applyBorder="1" applyAlignment="1">
      <alignment horizontal="left"/>
    </xf>
    <xf numFmtId="0" fontId="6" fillId="0" borderId="16" xfId="0" applyFont="1" applyBorder="1" applyAlignment="1">
      <alignment horizontal="center" wrapText="1"/>
    </xf>
    <xf numFmtId="0" fontId="6" fillId="0" borderId="7" xfId="0" applyFont="1" applyBorder="1" applyAlignment="1">
      <alignment horizontal="center" wrapText="1"/>
    </xf>
    <xf numFmtId="0" fontId="0" fillId="0" borderId="24" xfId="0" applyBorder="1" applyAlignment="1">
      <alignment vertical="center" wrapText="1"/>
    </xf>
    <xf numFmtId="3" fontId="0" fillId="0" borderId="24" xfId="0" applyNumberFormat="1" applyBorder="1" applyAlignment="1">
      <alignment vertical="center" wrapText="1"/>
    </xf>
    <xf numFmtId="0" fontId="6" fillId="0" borderId="78" xfId="0" applyFont="1" applyBorder="1" applyAlignment="1">
      <alignment horizontal="center"/>
    </xf>
    <xf numFmtId="0" fontId="0" fillId="0" borderId="54" xfId="0" applyBorder="1"/>
    <xf numFmtId="0" fontId="0" fillId="0" borderId="56" xfId="0" applyBorder="1"/>
    <xf numFmtId="0" fontId="6" fillId="14" borderId="45" xfId="0" applyFont="1" applyFill="1" applyBorder="1" applyAlignment="1">
      <alignment horizontal="left"/>
    </xf>
    <xf numFmtId="0" fontId="6" fillId="14" borderId="0" xfId="0" applyFont="1" applyFill="1" applyAlignment="1">
      <alignment horizontal="left"/>
    </xf>
    <xf numFmtId="0" fontId="0" fillId="0" borderId="54" xfId="0" applyBorder="1" applyAlignment="1">
      <alignment horizontal="left"/>
    </xf>
    <xf numFmtId="0" fontId="0" fillId="0" borderId="56" xfId="0" applyBorder="1" applyAlignment="1">
      <alignment horizontal="left"/>
    </xf>
    <xf numFmtId="0" fontId="0" fillId="12" borderId="24" xfId="0" applyFill="1" applyBorder="1" applyAlignment="1">
      <alignment vertical="center" wrapText="1"/>
    </xf>
    <xf numFmtId="0" fontId="6" fillId="12" borderId="30" xfId="0" applyFont="1" applyFill="1" applyBorder="1" applyAlignment="1">
      <alignment horizontal="center" vertical="center" wrapText="1"/>
    </xf>
    <xf numFmtId="3" fontId="0" fillId="0" borderId="16" xfId="4" applyNumberFormat="1" applyFont="1" applyFill="1" applyBorder="1" applyAlignment="1" applyProtection="1"/>
    <xf numFmtId="0" fontId="70" fillId="0" borderId="0" xfId="2" applyFont="1"/>
    <xf numFmtId="0" fontId="68" fillId="0" borderId="24" xfId="2" applyFont="1" applyBorder="1" applyAlignment="1">
      <alignment wrapText="1"/>
    </xf>
    <xf numFmtId="0" fontId="68" fillId="0" borderId="24" xfId="2" applyFont="1" applyBorder="1" applyProtection="1">
      <protection locked="0"/>
    </xf>
    <xf numFmtId="0" fontId="69" fillId="0" borderId="24" xfId="2" applyFont="1" applyBorder="1"/>
    <xf numFmtId="0" fontId="70" fillId="0" borderId="24" xfId="2" applyFont="1" applyBorder="1"/>
    <xf numFmtId="0" fontId="0" fillId="12" borderId="47" xfId="0" applyFill="1" applyBorder="1"/>
    <xf numFmtId="0" fontId="71" fillId="12" borderId="45" xfId="0" applyFont="1" applyFill="1" applyBorder="1"/>
    <xf numFmtId="10" fontId="6" fillId="12" borderId="16" xfId="4" applyNumberFormat="1" applyFont="1" applyFill="1" applyBorder="1" applyAlignment="1" applyProtection="1">
      <protection locked="0"/>
    </xf>
    <xf numFmtId="3" fontId="6" fillId="12" borderId="16" xfId="4" applyNumberFormat="1" applyFont="1" applyFill="1" applyBorder="1" applyAlignment="1" applyProtection="1">
      <protection locked="0"/>
    </xf>
    <xf numFmtId="0" fontId="72" fillId="0" borderId="0" xfId="2" applyFont="1"/>
    <xf numFmtId="14" fontId="72" fillId="0" borderId="0" xfId="2" applyNumberFormat="1" applyFont="1"/>
    <xf numFmtId="0" fontId="1" fillId="0" borderId="51" xfId="2" applyBorder="1" applyAlignment="1">
      <alignment wrapText="1"/>
    </xf>
    <xf numFmtId="0" fontId="53" fillId="10" borderId="19" xfId="0" applyFont="1" applyFill="1" applyBorder="1" applyAlignment="1">
      <alignment wrapText="1"/>
    </xf>
    <xf numFmtId="0" fontId="74" fillId="0" borderId="0" xfId="0" applyFont="1" applyAlignment="1">
      <alignment wrapText="1"/>
    </xf>
    <xf numFmtId="0" fontId="74" fillId="0" borderId="24" xfId="0" applyFont="1" applyBorder="1" applyAlignment="1">
      <alignment wrapText="1"/>
    </xf>
    <xf numFmtId="22" fontId="74" fillId="0" borderId="24" xfId="0" applyNumberFormat="1" applyFont="1" applyBorder="1" applyAlignment="1">
      <alignment wrapText="1"/>
    </xf>
    <xf numFmtId="3" fontId="55" fillId="11" borderId="0" xfId="2" applyNumberFormat="1" applyFont="1" applyFill="1"/>
    <xf numFmtId="3" fontId="76" fillId="0" borderId="0" xfId="2" applyNumberFormat="1" applyFont="1" applyAlignment="1">
      <alignment horizontal="center"/>
    </xf>
    <xf numFmtId="1" fontId="75" fillId="0" borderId="0" xfId="2" applyNumberFormat="1" applyFont="1" applyAlignment="1">
      <alignment horizontal="center" wrapText="1"/>
    </xf>
    <xf numFmtId="0" fontId="5" fillId="0" borderId="24" xfId="2" applyFont="1" applyBorder="1"/>
    <xf numFmtId="3" fontId="3" fillId="11" borderId="0" xfId="2" applyNumberFormat="1" applyFont="1" applyFill="1"/>
    <xf numFmtId="3" fontId="3" fillId="11" borderId="81" xfId="2" applyNumberFormat="1" applyFont="1" applyFill="1" applyBorder="1"/>
    <xf numFmtId="3" fontId="55" fillId="11" borderId="81" xfId="2" applyNumberFormat="1" applyFont="1" applyFill="1" applyBorder="1"/>
    <xf numFmtId="3" fontId="55" fillId="11" borderId="82" xfId="2" applyNumberFormat="1" applyFont="1" applyFill="1" applyBorder="1"/>
    <xf numFmtId="3" fontId="3" fillId="11" borderId="83" xfId="2" applyNumberFormat="1" applyFont="1" applyFill="1" applyBorder="1"/>
    <xf numFmtId="3" fontId="55" fillId="11" borderId="83" xfId="2" applyNumberFormat="1" applyFont="1" applyFill="1" applyBorder="1"/>
    <xf numFmtId="3" fontId="55" fillId="11" borderId="84" xfId="2" applyNumberFormat="1" applyFont="1" applyFill="1" applyBorder="1"/>
    <xf numFmtId="0" fontId="75" fillId="0" borderId="24" xfId="2" applyFont="1" applyBorder="1" applyAlignment="1">
      <alignment horizontal="left" wrapText="1"/>
    </xf>
    <xf numFmtId="0" fontId="76" fillId="0" borderId="24" xfId="2" applyFont="1" applyBorder="1" applyAlignment="1">
      <alignment horizontal="left" wrapText="1"/>
    </xf>
    <xf numFmtId="3" fontId="76" fillId="0" borderId="24" xfId="2" applyNumberFormat="1" applyFont="1" applyBorder="1" applyAlignment="1">
      <alignment horizontal="left" wrapText="1"/>
    </xf>
    <xf numFmtId="9" fontId="76" fillId="0" borderId="24" xfId="2" applyNumberFormat="1" applyFont="1" applyBorder="1" applyAlignment="1">
      <alignment horizontal="left" wrapText="1"/>
    </xf>
    <xf numFmtId="9" fontId="77" fillId="0" borderId="24" xfId="2" applyNumberFormat="1" applyFont="1" applyBorder="1" applyAlignment="1">
      <alignment horizontal="left" wrapText="1"/>
    </xf>
    <xf numFmtId="0" fontId="38" fillId="0" borderId="25" xfId="2" applyFont="1" applyBorder="1" applyAlignment="1">
      <alignment horizontal="center" vertical="center" wrapText="1"/>
    </xf>
    <xf numFmtId="0" fontId="38" fillId="0" borderId="30" xfId="2" applyFont="1" applyBorder="1" applyAlignment="1">
      <alignment horizontal="center" vertical="center" wrapText="1"/>
    </xf>
    <xf numFmtId="0" fontId="79" fillId="0" borderId="0" xfId="2" applyFont="1"/>
    <xf numFmtId="0" fontId="0" fillId="0" borderId="0" xfId="0" applyAlignment="1">
      <alignment horizontal="center" wrapText="1"/>
    </xf>
    <xf numFmtId="0" fontId="60" fillId="10" borderId="19" xfId="0" quotePrefix="1" applyFont="1" applyFill="1" applyBorder="1" applyAlignment="1">
      <alignment horizontal="left" vertical="center" wrapText="1"/>
    </xf>
    <xf numFmtId="0" fontId="10" fillId="0" borderId="58" xfId="0" applyFont="1" applyBorder="1"/>
    <xf numFmtId="165" fontId="14" fillId="4" borderId="55" xfId="4" applyNumberFormat="1" applyFont="1" applyFill="1" applyBorder="1" applyAlignment="1" applyProtection="1"/>
    <xf numFmtId="173" fontId="0" fillId="4" borderId="56" xfId="4" applyFont="1" applyFill="1" applyBorder="1" applyAlignment="1" applyProtection="1">
      <alignment horizontal="center"/>
    </xf>
    <xf numFmtId="0" fontId="82" fillId="4" borderId="54" xfId="0" applyFont="1" applyFill="1" applyBorder="1" applyAlignment="1">
      <alignment horizontal="left"/>
    </xf>
    <xf numFmtId="0" fontId="3" fillId="0" borderId="0" xfId="2" applyFont="1" applyAlignment="1">
      <alignment vertical="center"/>
    </xf>
    <xf numFmtId="0" fontId="37" fillId="0" borderId="34" xfId="2" applyFont="1" applyBorder="1" applyAlignment="1">
      <alignment horizontal="center" vertical="center" wrapText="1"/>
    </xf>
    <xf numFmtId="0" fontId="3" fillId="0" borderId="0" xfId="2" applyFont="1" applyAlignment="1">
      <alignment horizontal="center" vertical="center"/>
    </xf>
    <xf numFmtId="0" fontId="25" fillId="11" borderId="35" xfId="2" applyFont="1" applyFill="1" applyBorder="1" applyAlignment="1">
      <alignment horizontal="center" vertical="center"/>
    </xf>
    <xf numFmtId="0" fontId="3" fillId="0" borderId="0" xfId="2" applyFont="1" applyAlignment="1">
      <alignment vertical="center" wrapText="1"/>
    </xf>
    <xf numFmtId="0" fontId="55" fillId="0" borderId="0" xfId="2" applyFont="1" applyAlignment="1">
      <alignment vertical="center"/>
    </xf>
    <xf numFmtId="0" fontId="55" fillId="0" borderId="0" xfId="2" applyFont="1" applyAlignment="1">
      <alignment vertical="center" wrapText="1"/>
    </xf>
    <xf numFmtId="0" fontId="3" fillId="0" borderId="31" xfId="2" applyFont="1" applyBorder="1" applyAlignment="1">
      <alignment vertical="center"/>
    </xf>
    <xf numFmtId="0" fontId="3" fillId="0" borderId="31" xfId="2" applyFont="1" applyBorder="1" applyAlignment="1">
      <alignment vertical="center" wrapText="1"/>
    </xf>
    <xf numFmtId="0" fontId="79" fillId="0" borderId="31" xfId="2" applyFont="1" applyBorder="1" applyAlignment="1">
      <alignment vertical="center" wrapText="1"/>
    </xf>
    <xf numFmtId="3" fontId="57" fillId="0" borderId="67" xfId="2" applyNumberFormat="1" applyFont="1" applyBorder="1" applyAlignment="1">
      <alignment horizontal="center" vertical="center" wrapText="1"/>
    </xf>
    <xf numFmtId="0" fontId="3" fillId="0" borderId="0" xfId="2" applyFont="1" applyAlignment="1">
      <alignment horizontal="center" vertical="center" wrapText="1"/>
    </xf>
    <xf numFmtId="0" fontId="26" fillId="0" borderId="0" xfId="2" applyFont="1" applyAlignment="1">
      <alignment vertical="center" wrapText="1"/>
    </xf>
    <xf numFmtId="0" fontId="83" fillId="0" borderId="0" xfId="2" applyFont="1" applyAlignment="1">
      <alignment horizontal="center" vertical="center"/>
    </xf>
    <xf numFmtId="0" fontId="83" fillId="0" borderId="67" xfId="2" applyFont="1" applyBorder="1" applyAlignment="1">
      <alignment horizontal="center" vertical="center" wrapText="1"/>
    </xf>
    <xf numFmtId="1" fontId="83" fillId="0" borderId="67" xfId="2" applyNumberFormat="1" applyFont="1" applyBorder="1" applyAlignment="1">
      <alignment horizontal="center" vertical="center" wrapText="1"/>
    </xf>
    <xf numFmtId="0" fontId="84" fillId="0" borderId="67" xfId="2" applyFont="1" applyBorder="1" applyAlignment="1">
      <alignment horizontal="center" vertical="center" wrapText="1"/>
    </xf>
    <xf numFmtId="3" fontId="84" fillId="0" borderId="67" xfId="2" applyNumberFormat="1" applyFont="1" applyBorder="1" applyAlignment="1">
      <alignment horizontal="center" vertical="center" wrapText="1"/>
    </xf>
    <xf numFmtId="9" fontId="84" fillId="0" borderId="67" xfId="2" applyNumberFormat="1" applyFont="1" applyBorder="1" applyAlignment="1">
      <alignment horizontal="center" vertical="center" wrapText="1"/>
    </xf>
    <xf numFmtId="9" fontId="85" fillId="0" borderId="67" xfId="2" applyNumberFormat="1" applyFont="1" applyBorder="1" applyAlignment="1">
      <alignment horizontal="center" vertical="center" wrapText="1"/>
    </xf>
    <xf numFmtId="0" fontId="83" fillId="0" borderId="67" xfId="2" applyFont="1" applyBorder="1" applyAlignment="1">
      <alignment horizontal="center" vertical="center"/>
    </xf>
    <xf numFmtId="0" fontId="37" fillId="0" borderId="88" xfId="2" applyFont="1" applyBorder="1" applyAlignment="1">
      <alignment horizontal="center" vertical="center" wrapText="1"/>
    </xf>
    <xf numFmtId="0" fontId="26" fillId="0" borderId="31" xfId="2" applyFont="1" applyBorder="1" applyAlignment="1">
      <alignment vertical="center" wrapText="1"/>
    </xf>
    <xf numFmtId="3" fontId="43" fillId="11" borderId="35" xfId="2" applyNumberFormat="1" applyFont="1" applyFill="1" applyBorder="1" applyAlignment="1">
      <alignment horizontal="center" vertical="center"/>
    </xf>
    <xf numFmtId="3" fontId="43" fillId="11" borderId="40" xfId="2" applyNumberFormat="1" applyFont="1" applyFill="1" applyBorder="1" applyAlignment="1">
      <alignment horizontal="center" vertical="center"/>
    </xf>
    <xf numFmtId="3" fontId="43" fillId="11" borderId="35" xfId="2" applyNumberFormat="1" applyFont="1" applyFill="1" applyBorder="1" applyAlignment="1">
      <alignment horizontal="center" vertical="center" wrapText="1"/>
    </xf>
    <xf numFmtId="3" fontId="43" fillId="11" borderId="40" xfId="2" applyNumberFormat="1" applyFont="1" applyFill="1" applyBorder="1" applyAlignment="1">
      <alignment horizontal="center" vertical="center" wrapText="1"/>
    </xf>
    <xf numFmtId="3" fontId="43" fillId="11" borderId="89" xfId="2" applyNumberFormat="1" applyFont="1" applyFill="1" applyBorder="1" applyAlignment="1">
      <alignment horizontal="center" vertical="center"/>
    </xf>
    <xf numFmtId="3" fontId="43" fillId="11" borderId="90" xfId="2" applyNumberFormat="1" applyFont="1" applyFill="1" applyBorder="1" applyAlignment="1">
      <alignment horizontal="center" vertical="center"/>
    </xf>
    <xf numFmtId="3" fontId="86" fillId="11" borderId="35" xfId="2" applyNumberFormat="1" applyFont="1" applyFill="1" applyBorder="1" applyAlignment="1">
      <alignment horizontal="center" vertical="center"/>
    </xf>
    <xf numFmtId="3" fontId="86" fillId="11" borderId="35" xfId="2" applyNumberFormat="1" applyFont="1" applyFill="1" applyBorder="1" applyAlignment="1">
      <alignment horizontal="center" vertical="center" wrapText="1"/>
    </xf>
    <xf numFmtId="3" fontId="86" fillId="11" borderId="40" xfId="2" applyNumberFormat="1" applyFont="1" applyFill="1" applyBorder="1" applyAlignment="1">
      <alignment horizontal="center" vertical="center" wrapText="1"/>
    </xf>
    <xf numFmtId="3" fontId="86" fillId="11" borderId="40" xfId="2" applyNumberFormat="1" applyFont="1" applyFill="1" applyBorder="1" applyAlignment="1">
      <alignment horizontal="center" vertical="center"/>
    </xf>
    <xf numFmtId="0" fontId="11" fillId="2" borderId="3" xfId="2" applyFont="1" applyFill="1" applyBorder="1"/>
    <xf numFmtId="0" fontId="11" fillId="2" borderId="17" xfId="2" applyFont="1" applyFill="1" applyBorder="1"/>
    <xf numFmtId="0" fontId="63" fillId="2" borderId="3" xfId="2" applyFont="1" applyFill="1" applyBorder="1" applyAlignment="1">
      <alignment horizontal="center"/>
    </xf>
    <xf numFmtId="14" fontId="11" fillId="2" borderId="3" xfId="2" applyNumberFormat="1" applyFont="1" applyFill="1" applyBorder="1" applyAlignment="1">
      <alignment horizontal="center"/>
    </xf>
    <xf numFmtId="0" fontId="15" fillId="0" borderId="24" xfId="0" applyFont="1" applyBorder="1" applyAlignment="1">
      <alignment vertical="center" wrapText="1"/>
    </xf>
    <xf numFmtId="0" fontId="6" fillId="4" borderId="16" xfId="0" applyFont="1" applyFill="1" applyBorder="1" applyAlignment="1">
      <alignment horizontal="right"/>
    </xf>
    <xf numFmtId="165" fontId="0" fillId="0" borderId="16" xfId="4" applyNumberFormat="1" applyFont="1" applyFill="1" applyBorder="1" applyAlignment="1" applyProtection="1"/>
    <xf numFmtId="165" fontId="6" fillId="0" borderId="16" xfId="4" applyNumberFormat="1" applyFont="1" applyFill="1" applyBorder="1" applyAlignment="1" applyProtection="1"/>
    <xf numFmtId="165" fontId="6" fillId="4" borderId="0" xfId="0" applyNumberFormat="1" applyFont="1" applyFill="1" applyAlignment="1">
      <alignment horizontal="right"/>
    </xf>
    <xf numFmtId="0" fontId="6" fillId="4" borderId="16" xfId="0" applyFont="1" applyFill="1" applyBorder="1"/>
    <xf numFmtId="0" fontId="0" fillId="0" borderId="49" xfId="0" applyBorder="1"/>
    <xf numFmtId="165" fontId="0" fillId="0" borderId="94" xfId="0" applyNumberFormat="1" applyBorder="1"/>
    <xf numFmtId="0" fontId="0" fillId="0" borderId="46" xfId="0" applyBorder="1" applyAlignment="1">
      <alignment horizontal="center"/>
    </xf>
    <xf numFmtId="0" fontId="0" fillId="0" borderId="47" xfId="0" applyBorder="1" applyAlignment="1">
      <alignment horizontal="center"/>
    </xf>
    <xf numFmtId="0" fontId="0" fillId="0" borderId="58" xfId="0" applyBorder="1"/>
    <xf numFmtId="165" fontId="0" fillId="0" borderId="95" xfId="0" applyNumberFormat="1" applyBorder="1"/>
    <xf numFmtId="0" fontId="0" fillId="0" borderId="60" xfId="0" applyBorder="1" applyAlignment="1">
      <alignment horizontal="center"/>
    </xf>
    <xf numFmtId="43" fontId="3" fillId="0" borderId="0" xfId="2" applyNumberFormat="1" applyFont="1"/>
    <xf numFmtId="168" fontId="8" fillId="0" borderId="1" xfId="2" applyNumberFormat="1" applyFont="1" applyBorder="1"/>
    <xf numFmtId="168" fontId="15" fillId="0" borderId="1" xfId="0" applyNumberFormat="1" applyFont="1" applyBorder="1"/>
    <xf numFmtId="166" fontId="89" fillId="0" borderId="1" xfId="3" applyNumberFormat="1" applyFont="1" applyFill="1" applyBorder="1" applyAlignment="1" applyProtection="1"/>
    <xf numFmtId="170" fontId="8" fillId="0" borderId="1" xfId="2" applyNumberFormat="1" applyFont="1" applyBorder="1"/>
    <xf numFmtId="0" fontId="93" fillId="0" borderId="3" xfId="2" applyFont="1" applyBorder="1"/>
    <xf numFmtId="0" fontId="96" fillId="0" borderId="0" xfId="2" applyFont="1"/>
    <xf numFmtId="0" fontId="93" fillId="0" borderId="0" xfId="2" applyFont="1"/>
    <xf numFmtId="177" fontId="98" fillId="6" borderId="3" xfId="2" applyNumberFormat="1" applyFont="1" applyFill="1" applyBorder="1"/>
    <xf numFmtId="177" fontId="98" fillId="9" borderId="3" xfId="2" applyNumberFormat="1" applyFont="1" applyFill="1" applyBorder="1" applyProtection="1">
      <protection locked="0"/>
    </xf>
    <xf numFmtId="0" fontId="99" fillId="0" borderId="0" xfId="0" applyFont="1"/>
    <xf numFmtId="177" fontId="98" fillId="0" borderId="3" xfId="2" applyNumberFormat="1" applyFont="1" applyBorder="1"/>
    <xf numFmtId="0" fontId="90" fillId="0" borderId="0" xfId="2" applyFont="1" applyAlignment="1">
      <alignment horizontal="right"/>
    </xf>
    <xf numFmtId="0" fontId="98" fillId="0" borderId="3" xfId="2" applyFont="1" applyBorder="1"/>
    <xf numFmtId="177" fontId="93" fillId="0" borderId="0" xfId="2" applyNumberFormat="1" applyFont="1"/>
    <xf numFmtId="177" fontId="98" fillId="10" borderId="3" xfId="2" applyNumberFormat="1" applyFont="1" applyFill="1" applyBorder="1"/>
    <xf numFmtId="177" fontId="103" fillId="10" borderId="3" xfId="2" applyNumberFormat="1" applyFont="1" applyFill="1" applyBorder="1"/>
    <xf numFmtId="177" fontId="98" fillId="0" borderId="3" xfId="2" applyNumberFormat="1" applyFont="1" applyBorder="1" applyAlignment="1">
      <alignment horizontal="right"/>
    </xf>
    <xf numFmtId="177" fontId="95" fillId="0" borderId="3" xfId="2" applyNumberFormat="1" applyFont="1" applyBorder="1" applyAlignment="1">
      <alignment horizontal="right"/>
    </xf>
    <xf numFmtId="0" fontId="93" fillId="0" borderId="3" xfId="2" applyFont="1" applyBorder="1" applyAlignment="1">
      <alignment horizontal="right"/>
    </xf>
    <xf numFmtId="0" fontId="95" fillId="0" borderId="3" xfId="2" applyFont="1" applyBorder="1" applyAlignment="1">
      <alignment horizontal="right"/>
    </xf>
    <xf numFmtId="177" fontId="95" fillId="0" borderId="0" xfId="2" applyNumberFormat="1" applyFont="1" applyAlignment="1">
      <alignment horizontal="right"/>
    </xf>
    <xf numFmtId="0" fontId="93" fillId="0" borderId="3" xfId="2" applyFont="1" applyBorder="1" applyAlignment="1">
      <alignment horizontal="right" vertical="center"/>
    </xf>
    <xf numFmtId="0" fontId="94" fillId="0" borderId="3" xfId="2" applyFont="1" applyBorder="1" applyAlignment="1">
      <alignment horizontal="right" vertical="center"/>
    </xf>
    <xf numFmtId="0" fontId="98" fillId="0" borderId="3" xfId="2" applyFont="1" applyBorder="1" applyAlignment="1">
      <alignment horizontal="right" vertical="center"/>
    </xf>
    <xf numFmtId="177" fontId="98" fillId="0" borderId="3" xfId="2" applyNumberFormat="1" applyFont="1" applyBorder="1" applyAlignment="1">
      <alignment horizontal="right" vertical="center"/>
    </xf>
    <xf numFmtId="177" fontId="100" fillId="0" borderId="3" xfId="2" applyNumberFormat="1" applyFont="1" applyBorder="1" applyAlignment="1">
      <alignment horizontal="right" vertical="center"/>
    </xf>
    <xf numFmtId="0" fontId="93" fillId="0" borderId="0" xfId="2" applyFont="1" applyAlignment="1">
      <alignment horizontal="right" vertical="center"/>
    </xf>
    <xf numFmtId="177" fontId="93" fillId="0" borderId="0" xfId="2" applyNumberFormat="1" applyFont="1" applyAlignment="1">
      <alignment horizontal="right" vertical="center"/>
    </xf>
    <xf numFmtId="0" fontId="95" fillId="0" borderId="0" xfId="2" applyFont="1"/>
    <xf numFmtId="0" fontId="104" fillId="0" borderId="0" xfId="2" applyFont="1" applyAlignment="1">
      <alignment horizontal="center"/>
    </xf>
    <xf numFmtId="178" fontId="105" fillId="7" borderId="1" xfId="0" applyNumberFormat="1" applyFont="1" applyFill="1" applyBorder="1" applyProtection="1">
      <protection locked="0"/>
    </xf>
    <xf numFmtId="178" fontId="98" fillId="0" borderId="1" xfId="2" applyNumberFormat="1" applyFont="1" applyBorder="1"/>
    <xf numFmtId="178" fontId="98" fillId="7" borderId="1" xfId="2" applyNumberFormat="1" applyFont="1" applyFill="1" applyBorder="1" applyProtection="1">
      <protection locked="0"/>
    </xf>
    <xf numFmtId="178" fontId="101" fillId="0" borderId="1" xfId="2" applyNumberFormat="1" applyFont="1" applyBorder="1"/>
    <xf numFmtId="0" fontId="98" fillId="0" borderId="1" xfId="2" applyFont="1" applyBorder="1"/>
    <xf numFmtId="0" fontId="98" fillId="7" borderId="1" xfId="2" applyFont="1" applyFill="1" applyBorder="1" applyProtection="1">
      <protection locked="0"/>
    </xf>
    <xf numFmtId="0" fontId="91" fillId="0" borderId="1" xfId="2" applyFont="1" applyBorder="1" applyAlignment="1">
      <alignment wrapText="1"/>
    </xf>
    <xf numFmtId="10" fontId="91" fillId="7" borderId="1" xfId="2" applyNumberFormat="1" applyFont="1" applyFill="1" applyBorder="1" applyProtection="1">
      <protection locked="0"/>
    </xf>
    <xf numFmtId="178" fontId="91" fillId="0" borderId="1" xfId="2" applyNumberFormat="1" applyFont="1" applyBorder="1"/>
    <xf numFmtId="0" fontId="91" fillId="0" borderId="1" xfId="2" applyFont="1" applyBorder="1"/>
    <xf numFmtId="10" fontId="91" fillId="0" borderId="1" xfId="2" applyNumberFormat="1" applyFont="1" applyBorder="1"/>
    <xf numFmtId="178" fontId="101" fillId="7" borderId="1" xfId="2" applyNumberFormat="1" applyFont="1" applyFill="1" applyBorder="1" applyProtection="1">
      <protection locked="0"/>
    </xf>
    <xf numFmtId="10" fontId="101" fillId="0" borderId="1" xfId="2" applyNumberFormat="1" applyFont="1" applyBorder="1"/>
    <xf numFmtId="0" fontId="104" fillId="0" borderId="1" xfId="2" applyFont="1" applyBorder="1" applyAlignment="1">
      <alignment horizontal="center" wrapText="1"/>
    </xf>
    <xf numFmtId="0" fontId="107" fillId="0" borderId="0" xfId="2" applyFont="1" applyAlignment="1">
      <alignment wrapText="1"/>
    </xf>
    <xf numFmtId="0" fontId="93" fillId="2" borderId="2" xfId="2" applyFont="1" applyFill="1" applyBorder="1"/>
    <xf numFmtId="0" fontId="93" fillId="2" borderId="4" xfId="0" applyFont="1" applyFill="1" applyBorder="1"/>
    <xf numFmtId="0" fontId="93" fillId="2" borderId="4" xfId="2" applyFont="1" applyFill="1" applyBorder="1"/>
    <xf numFmtId="14" fontId="93" fillId="0" borderId="0" xfId="2" applyNumberFormat="1" applyFont="1"/>
    <xf numFmtId="0" fontId="107" fillId="16" borderId="23" xfId="2" applyFont="1" applyFill="1" applyBorder="1"/>
    <xf numFmtId="0" fontId="109" fillId="16" borderId="21" xfId="2" applyFont="1" applyFill="1" applyBorder="1" applyAlignment="1">
      <alignment horizontal="center"/>
    </xf>
    <xf numFmtId="0" fontId="110" fillId="0" borderId="0" xfId="2" applyFont="1"/>
    <xf numFmtId="0" fontId="93" fillId="0" borderId="0" xfId="2" applyFont="1" applyAlignment="1">
      <alignment wrapText="1"/>
    </xf>
    <xf numFmtId="0" fontId="93" fillId="0" borderId="0" xfId="2" applyFont="1" applyProtection="1">
      <protection locked="0"/>
    </xf>
    <xf numFmtId="0" fontId="112" fillId="0" borderId="1" xfId="2" applyFont="1" applyBorder="1" applyAlignment="1">
      <alignment wrapText="1"/>
    </xf>
    <xf numFmtId="0" fontId="93" fillId="0" borderId="1" xfId="2" applyFont="1" applyBorder="1" applyProtection="1">
      <protection locked="0"/>
    </xf>
    <xf numFmtId="0" fontId="93" fillId="0" borderId="1" xfId="2" applyFont="1" applyBorder="1" applyAlignment="1">
      <alignment wrapText="1"/>
    </xf>
    <xf numFmtId="0" fontId="93" fillId="3" borderId="1" xfId="2" applyFont="1" applyFill="1" applyBorder="1" applyProtection="1">
      <protection locked="0"/>
    </xf>
    <xf numFmtId="9" fontId="93" fillId="3" borderId="1" xfId="2" applyNumberFormat="1" applyFont="1" applyFill="1" applyBorder="1" applyProtection="1">
      <protection locked="0"/>
    </xf>
    <xf numFmtId="0" fontId="93" fillId="0" borderId="48" xfId="2" applyFont="1" applyBorder="1" applyAlignment="1">
      <alignment wrapText="1"/>
    </xf>
    <xf numFmtId="0" fontId="93" fillId="3" borderId="48" xfId="2" applyFont="1" applyFill="1" applyBorder="1" applyProtection="1">
      <protection locked="0"/>
    </xf>
    <xf numFmtId="0" fontId="107" fillId="0" borderId="0" xfId="2" applyFont="1"/>
    <xf numFmtId="0" fontId="93" fillId="2" borderId="99" xfId="2" applyFont="1" applyFill="1" applyBorder="1"/>
    <xf numFmtId="0" fontId="93" fillId="2" borderId="3" xfId="2" applyFont="1" applyFill="1" applyBorder="1"/>
    <xf numFmtId="0" fontId="114" fillId="0" borderId="0" xfId="2" applyFont="1" applyAlignment="1">
      <alignment horizontal="center"/>
    </xf>
    <xf numFmtId="0" fontId="98" fillId="0" borderId="0" xfId="2" applyFont="1" applyAlignment="1">
      <alignment wrapText="1"/>
    </xf>
    <xf numFmtId="165" fontId="98" fillId="0" borderId="0" xfId="2" applyNumberFormat="1" applyFont="1" applyProtection="1">
      <protection locked="0"/>
    </xf>
    <xf numFmtId="0" fontId="99" fillId="0" borderId="45" xfId="0" applyFont="1" applyBorder="1"/>
    <xf numFmtId="0" fontId="99" fillId="0" borderId="47" xfId="0" applyFont="1" applyBorder="1"/>
    <xf numFmtId="0" fontId="99" fillId="0" borderId="18" xfId="0" applyFont="1" applyBorder="1"/>
    <xf numFmtId="0" fontId="99" fillId="0" borderId="20" xfId="0" applyFont="1" applyBorder="1"/>
    <xf numFmtId="0" fontId="98" fillId="0" borderId="0" xfId="2" applyFont="1"/>
    <xf numFmtId="0" fontId="99" fillId="0" borderId="23" xfId="0" applyFont="1" applyBorder="1"/>
    <xf numFmtId="0" fontId="45" fillId="0" borderId="0" xfId="2" applyFont="1" applyAlignment="1">
      <alignment horizontal="center"/>
    </xf>
    <xf numFmtId="0" fontId="3" fillId="0" borderId="99" xfId="2" applyFont="1" applyBorder="1"/>
    <xf numFmtId="0" fontId="115" fillId="0" borderId="0" xfId="2" applyFont="1" applyAlignment="1">
      <alignment wrapText="1"/>
    </xf>
    <xf numFmtId="0" fontId="0" fillId="0" borderId="50" xfId="0" applyBorder="1"/>
    <xf numFmtId="0" fontId="0" fillId="0" borderId="59" xfId="0" applyBorder="1"/>
    <xf numFmtId="37" fontId="3" fillId="0" borderId="3" xfId="2" applyNumberFormat="1" applyFont="1" applyBorder="1"/>
    <xf numFmtId="3" fontId="3" fillId="0" borderId="99" xfId="2" applyNumberFormat="1" applyFont="1" applyBorder="1"/>
    <xf numFmtId="3" fontId="3" fillId="0" borderId="3" xfId="2" applyNumberFormat="1" applyFont="1" applyBorder="1"/>
    <xf numFmtId="0" fontId="116" fillId="0" borderId="0" xfId="0" applyFont="1" applyAlignment="1">
      <alignment horizontal="left" vertical="center"/>
    </xf>
    <xf numFmtId="14" fontId="116" fillId="0" borderId="0" xfId="0" applyNumberFormat="1" applyFont="1" applyAlignment="1">
      <alignment horizontal="left" vertical="center"/>
    </xf>
    <xf numFmtId="0" fontId="116" fillId="0" borderId="0" xfId="0" applyFont="1" applyAlignment="1">
      <alignment vertical="center"/>
    </xf>
    <xf numFmtId="0" fontId="116" fillId="0" borderId="50" xfId="0" applyFont="1" applyBorder="1" applyAlignment="1">
      <alignment vertical="center"/>
    </xf>
    <xf numFmtId="0" fontId="116" fillId="0" borderId="59" xfId="0" applyFont="1" applyBorder="1" applyAlignment="1">
      <alignment vertical="center"/>
    </xf>
    <xf numFmtId="0" fontId="0" fillId="0" borderId="60" xfId="0" applyBorder="1"/>
    <xf numFmtId="0" fontId="3" fillId="0" borderId="24" xfId="2" applyFont="1" applyBorder="1"/>
    <xf numFmtId="3" fontId="3" fillId="0" borderId="24" xfId="2" applyNumberFormat="1" applyFont="1" applyBorder="1"/>
    <xf numFmtId="0" fontId="117" fillId="0" borderId="44" xfId="0" applyFont="1" applyBorder="1" applyAlignment="1">
      <alignment vertical="center"/>
    </xf>
    <xf numFmtId="0" fontId="117" fillId="0" borderId="86" xfId="0" applyFont="1" applyBorder="1" applyAlignment="1">
      <alignment vertical="center"/>
    </xf>
    <xf numFmtId="0" fontId="80" fillId="0" borderId="67" xfId="0" applyFont="1" applyBorder="1" applyAlignment="1">
      <alignment vertical="center"/>
    </xf>
    <xf numFmtId="0" fontId="80" fillId="0" borderId="65" xfId="0" applyFont="1" applyBorder="1" applyAlignment="1">
      <alignment vertical="center"/>
    </xf>
    <xf numFmtId="0" fontId="119" fillId="0" borderId="73" xfId="0" applyFont="1" applyBorder="1" applyAlignment="1">
      <alignment vertical="center"/>
    </xf>
    <xf numFmtId="0" fontId="119" fillId="0" borderId="98" xfId="0" applyFont="1" applyBorder="1" applyAlignment="1">
      <alignment vertical="center"/>
    </xf>
    <xf numFmtId="0" fontId="119" fillId="0" borderId="67" xfId="0" applyFont="1" applyBorder="1" applyAlignment="1">
      <alignment vertical="center"/>
    </xf>
    <xf numFmtId="0" fontId="119" fillId="0" borderId="65" xfId="0" applyFont="1" applyBorder="1" applyAlignment="1">
      <alignment vertical="center"/>
    </xf>
    <xf numFmtId="0" fontId="120" fillId="0" borderId="67" xfId="0" applyFont="1" applyBorder="1" applyAlignment="1">
      <alignment vertical="center"/>
    </xf>
    <xf numFmtId="0" fontId="120" fillId="0" borderId="73" xfId="0" applyFont="1" applyBorder="1" applyAlignment="1">
      <alignment vertical="center"/>
    </xf>
    <xf numFmtId="0" fontId="101" fillId="0" borderId="88" xfId="2" applyFont="1" applyBorder="1"/>
    <xf numFmtId="0" fontId="93" fillId="0" borderId="93" xfId="2" applyFont="1" applyBorder="1"/>
    <xf numFmtId="0" fontId="1" fillId="0" borderId="58" xfId="2" applyBorder="1"/>
    <xf numFmtId="0" fontId="101" fillId="0" borderId="105" xfId="2" applyFont="1" applyBorder="1"/>
    <xf numFmtId="14" fontId="116" fillId="0" borderId="0" xfId="0" applyNumberFormat="1" applyFont="1" applyAlignment="1">
      <alignment vertical="center"/>
    </xf>
    <xf numFmtId="0" fontId="1" fillId="0" borderId="59" xfId="2" applyBorder="1"/>
    <xf numFmtId="177" fontId="98" fillId="6" borderId="24" xfId="2" applyNumberFormat="1" applyFont="1" applyFill="1" applyBorder="1" applyAlignment="1">
      <alignment horizontal="right"/>
    </xf>
    <xf numFmtId="177" fontId="27" fillId="6" borderId="24" xfId="2" applyNumberFormat="1" applyFont="1" applyFill="1" applyBorder="1"/>
    <xf numFmtId="177" fontId="27" fillId="10" borderId="24" xfId="2" applyNumberFormat="1" applyFont="1" applyFill="1" applyBorder="1"/>
    <xf numFmtId="177" fontId="29" fillId="10" borderId="24" xfId="2" applyNumberFormat="1" applyFont="1" applyFill="1" applyBorder="1"/>
    <xf numFmtId="177" fontId="98" fillId="0" borderId="24" xfId="2" applyNumberFormat="1" applyFont="1" applyBorder="1" applyAlignment="1">
      <alignment horizontal="right"/>
    </xf>
    <xf numFmtId="177" fontId="95" fillId="0" borderId="24" xfId="2" applyNumberFormat="1" applyFont="1" applyBorder="1" applyAlignment="1">
      <alignment horizontal="right"/>
    </xf>
    <xf numFmtId="0" fontId="0" fillId="4" borderId="10" xfId="0" applyFill="1" applyBorder="1" applyAlignment="1">
      <alignment horizontal="left"/>
    </xf>
    <xf numFmtId="0" fontId="15" fillId="0" borderId="13" xfId="0" applyFont="1" applyBorder="1" applyAlignment="1">
      <alignment horizontal="left"/>
    </xf>
    <xf numFmtId="0" fontId="117" fillId="0" borderId="0" xfId="0" applyFont="1" applyAlignment="1">
      <alignment vertical="center"/>
    </xf>
    <xf numFmtId="0" fontId="119" fillId="0" borderId="0" xfId="0" applyFont="1" applyAlignment="1">
      <alignment vertical="center"/>
    </xf>
    <xf numFmtId="0" fontId="119" fillId="0" borderId="0" xfId="0" applyFont="1" applyAlignment="1">
      <alignment vertical="center" wrapText="1"/>
    </xf>
    <xf numFmtId="14" fontId="119" fillId="0" borderId="0" xfId="0" applyNumberFormat="1" applyFont="1" applyAlignment="1">
      <alignment vertical="center"/>
    </xf>
    <xf numFmtId="14" fontId="119" fillId="0" borderId="65" xfId="0" applyNumberFormat="1" applyFont="1" applyBorder="1" applyAlignment="1">
      <alignment horizontal="left" vertical="center"/>
    </xf>
    <xf numFmtId="0" fontId="119" fillId="0" borderId="87" xfId="0" applyFont="1" applyBorder="1" applyAlignment="1">
      <alignment vertical="center"/>
    </xf>
    <xf numFmtId="0" fontId="6" fillId="0" borderId="78" xfId="0" applyFont="1" applyBorder="1" applyAlignment="1">
      <alignment horizontal="center" vertical="center"/>
    </xf>
    <xf numFmtId="0" fontId="6" fillId="0" borderId="6" xfId="0" applyFont="1" applyBorder="1" applyAlignment="1">
      <alignment horizontal="center" vertical="center"/>
    </xf>
    <xf numFmtId="0" fontId="101" fillId="0" borderId="49" xfId="2" applyFont="1" applyBorder="1"/>
    <xf numFmtId="0" fontId="93" fillId="0" borderId="45" xfId="2" applyFont="1" applyBorder="1"/>
    <xf numFmtId="0" fontId="121" fillId="0" borderId="3" xfId="2" applyFont="1" applyBorder="1" applyAlignment="1">
      <alignment horizontal="right"/>
    </xf>
    <xf numFmtId="177" fontId="122" fillId="0" borderId="3" xfId="2" applyNumberFormat="1" applyFont="1" applyBorder="1"/>
    <xf numFmtId="173" fontId="59" fillId="0" borderId="0" xfId="4" applyFont="1" applyFill="1" applyBorder="1" applyAlignment="1" applyProtection="1">
      <alignment horizontal="left" vertical="center"/>
    </xf>
    <xf numFmtId="0" fontId="87" fillId="0" borderId="0" xfId="0" applyFont="1" applyAlignment="1">
      <alignment wrapText="1"/>
    </xf>
    <xf numFmtId="0" fontId="59" fillId="0" borderId="0" xfId="0" applyFont="1" applyAlignment="1">
      <alignment wrapText="1"/>
    </xf>
    <xf numFmtId="0" fontId="59" fillId="0" borderId="0" xfId="0" applyFont="1"/>
    <xf numFmtId="0" fontId="123" fillId="0" borderId="0" xfId="0" applyFont="1" applyAlignment="1">
      <alignment vertical="center" wrapText="1"/>
    </xf>
    <xf numFmtId="0" fontId="59" fillId="0" borderId="0" xfId="0" applyFont="1" applyAlignment="1">
      <alignment vertical="center" wrapText="1"/>
    </xf>
    <xf numFmtId="0" fontId="125" fillId="0" borderId="0" xfId="0" applyFont="1" applyAlignment="1" applyProtection="1">
      <alignment horizontal="center" vertical="center" wrapText="1"/>
      <protection locked="0"/>
    </xf>
    <xf numFmtId="0" fontId="59" fillId="0" borderId="0" xfId="0" applyFont="1" applyAlignment="1">
      <alignment vertical="top" wrapText="1"/>
    </xf>
    <xf numFmtId="0" fontId="59" fillId="0" borderId="0" xfId="0" applyFont="1" applyAlignment="1" applyProtection="1">
      <alignment wrapText="1"/>
      <protection locked="0"/>
    </xf>
    <xf numFmtId="0" fontId="59" fillId="0" borderId="0" xfId="0" applyFont="1" applyAlignment="1" applyProtection="1">
      <alignment vertical="center" wrapText="1"/>
      <protection locked="0"/>
    </xf>
    <xf numFmtId="0" fontId="59" fillId="0" borderId="0" xfId="0" applyFont="1" applyAlignment="1" applyProtection="1">
      <alignment horizontal="center" wrapText="1"/>
      <protection locked="0"/>
    </xf>
    <xf numFmtId="0" fontId="123" fillId="0" borderId="0" xfId="0" applyFont="1" applyAlignment="1" applyProtection="1">
      <alignment wrapText="1"/>
      <protection locked="0"/>
    </xf>
    <xf numFmtId="0" fontId="126" fillId="0" borderId="0" xfId="2" applyFont="1"/>
    <xf numFmtId="0" fontId="126" fillId="0" borderId="0" xfId="2" applyFont="1" applyAlignment="1">
      <alignment wrapText="1"/>
    </xf>
    <xf numFmtId="0" fontId="127" fillId="0" borderId="0" xfId="2" applyFont="1" applyAlignment="1">
      <alignment horizontal="center" vertical="center" wrapText="1"/>
    </xf>
    <xf numFmtId="0" fontId="127" fillId="0" borderId="0" xfId="2" applyFont="1" applyAlignment="1">
      <alignment horizontal="center" vertical="center"/>
    </xf>
    <xf numFmtId="0" fontId="126" fillId="0" borderId="0" xfId="2" applyFont="1" applyAlignment="1">
      <alignment vertical="center" wrapText="1"/>
    </xf>
    <xf numFmtId="0" fontId="59" fillId="0" borderId="0" xfId="0" applyFont="1" applyAlignment="1">
      <alignment horizontal="left"/>
    </xf>
    <xf numFmtId="0" fontId="59" fillId="0" borderId="0" xfId="0" applyFont="1" applyAlignment="1">
      <alignment horizontal="left" vertical="center"/>
    </xf>
    <xf numFmtId="0" fontId="59" fillId="0" borderId="0" xfId="0" applyFont="1" applyAlignment="1">
      <alignment horizontal="left" vertical="center" wrapText="1"/>
    </xf>
    <xf numFmtId="0" fontId="125" fillId="0" borderId="0" xfId="0" applyFont="1" applyAlignment="1">
      <alignment horizontal="left" vertical="center"/>
    </xf>
    <xf numFmtId="0" fontId="59" fillId="0" borderId="0" xfId="2" applyFont="1"/>
    <xf numFmtId="0" fontId="59" fillId="0" borderId="0" xfId="2" applyFont="1" applyAlignment="1">
      <alignment wrapText="1"/>
    </xf>
    <xf numFmtId="0" fontId="128" fillId="0" borderId="0" xfId="2" applyFont="1"/>
    <xf numFmtId="0" fontId="129" fillId="0" borderId="0" xfId="0" applyFont="1" applyAlignment="1">
      <alignment wrapText="1"/>
    </xf>
    <xf numFmtId="0" fontId="129" fillId="0" borderId="0" xfId="2" applyFont="1"/>
    <xf numFmtId="0" fontId="129" fillId="0" borderId="0" xfId="2" applyFont="1" applyAlignment="1">
      <alignment wrapText="1"/>
    </xf>
    <xf numFmtId="0" fontId="59" fillId="0" borderId="0" xfId="2" applyFont="1" applyAlignment="1">
      <alignment horizontal="center"/>
    </xf>
    <xf numFmtId="0" fontId="125" fillId="0" borderId="0" xfId="2" applyFont="1"/>
    <xf numFmtId="0" fontId="125" fillId="0" borderId="0" xfId="0" applyFont="1" applyAlignment="1">
      <alignment horizontal="left" wrapText="1"/>
    </xf>
    <xf numFmtId="3" fontId="127" fillId="0" borderId="0" xfId="2" applyNumberFormat="1" applyFont="1" applyAlignment="1">
      <alignment horizontal="left" wrapText="1"/>
    </xf>
    <xf numFmtId="9" fontId="128" fillId="0" borderId="0" xfId="2" applyNumberFormat="1" applyFont="1" applyAlignment="1">
      <alignment horizontal="left" wrapText="1"/>
    </xf>
    <xf numFmtId="0" fontId="127" fillId="0" borderId="0" xfId="2" applyFont="1" applyAlignment="1">
      <alignment horizontal="left" wrapText="1"/>
    </xf>
    <xf numFmtId="0" fontId="126" fillId="0" borderId="0" xfId="2" applyFont="1" applyAlignment="1">
      <alignment horizontal="center" vertical="center" wrapText="1"/>
    </xf>
    <xf numFmtId="0" fontId="129" fillId="0" borderId="0" xfId="0" applyFont="1"/>
    <xf numFmtId="0" fontId="129" fillId="0" borderId="0" xfId="2" applyFont="1" applyAlignment="1">
      <alignment horizontal="center"/>
    </xf>
    <xf numFmtId="0" fontId="128" fillId="0" borderId="0" xfId="2" applyFont="1" applyAlignment="1">
      <alignment wrapText="1"/>
    </xf>
    <xf numFmtId="0" fontId="71" fillId="18" borderId="45" xfId="0" applyFont="1" applyFill="1" applyBorder="1"/>
    <xf numFmtId="0" fontId="0" fillId="18" borderId="47" xfId="0" applyFill="1" applyBorder="1"/>
    <xf numFmtId="3" fontId="6" fillId="18" borderId="16" xfId="4" applyNumberFormat="1" applyFont="1" applyFill="1" applyBorder="1" applyAlignment="1" applyProtection="1">
      <protection locked="0"/>
    </xf>
    <xf numFmtId="10" fontId="6" fillId="18" borderId="16" xfId="4" applyNumberFormat="1" applyFont="1" applyFill="1" applyBorder="1" applyAlignment="1" applyProtection="1">
      <protection locked="0"/>
    </xf>
    <xf numFmtId="0" fontId="6" fillId="19" borderId="45" xfId="0" applyFont="1" applyFill="1" applyBorder="1" applyAlignment="1">
      <alignment horizontal="left"/>
    </xf>
    <xf numFmtId="0" fontId="6" fillId="19" borderId="0" xfId="0" applyFont="1" applyFill="1" applyAlignment="1">
      <alignment horizontal="left"/>
    </xf>
    <xf numFmtId="173" fontId="22" fillId="19" borderId="50" xfId="4" applyFont="1" applyFill="1" applyBorder="1" applyAlignment="1" applyProtection="1"/>
    <xf numFmtId="0" fontId="0" fillId="19" borderId="50" xfId="0" applyFill="1" applyBorder="1"/>
    <xf numFmtId="0" fontId="0" fillId="18" borderId="46" xfId="0" applyFill="1" applyBorder="1"/>
    <xf numFmtId="0" fontId="88" fillId="18" borderId="30" xfId="0" applyFont="1" applyFill="1" applyBorder="1" applyAlignment="1">
      <alignment horizontal="center" vertical="center" wrapText="1"/>
    </xf>
    <xf numFmtId="0" fontId="42" fillId="18" borderId="24" xfId="0" applyFont="1" applyFill="1" applyBorder="1" applyAlignment="1">
      <alignment vertical="center" wrapText="1"/>
    </xf>
    <xf numFmtId="0" fontId="0" fillId="14" borderId="45" xfId="0" applyFill="1" applyBorder="1" applyAlignment="1">
      <alignment horizontal="left"/>
    </xf>
    <xf numFmtId="0" fontId="0" fillId="14" borderId="47" xfId="0" applyFill="1" applyBorder="1" applyAlignment="1">
      <alignment horizontal="left"/>
    </xf>
    <xf numFmtId="173" fontId="0" fillId="14" borderId="16" xfId="4" applyFont="1" applyFill="1" applyBorder="1" applyAlignment="1" applyProtection="1"/>
    <xf numFmtId="3" fontId="0" fillId="14" borderId="7" xfId="0" applyNumberFormat="1" applyFill="1" applyBorder="1"/>
    <xf numFmtId="3" fontId="130" fillId="11" borderId="89" xfId="2" applyNumberFormat="1" applyFont="1" applyFill="1" applyBorder="1" applyAlignment="1">
      <alignment horizontal="center" vertical="center"/>
    </xf>
    <xf numFmtId="0" fontId="131" fillId="0" borderId="31" xfId="2" applyFont="1" applyBorder="1" applyAlignment="1">
      <alignment vertical="center" wrapText="1"/>
    </xf>
    <xf numFmtId="3" fontId="130" fillId="11" borderId="89" xfId="2" applyNumberFormat="1" applyFont="1" applyFill="1" applyBorder="1" applyAlignment="1">
      <alignment horizontal="center" vertical="center" wrapText="1"/>
    </xf>
    <xf numFmtId="3" fontId="130" fillId="11" borderId="90" xfId="2" applyNumberFormat="1" applyFont="1" applyFill="1" applyBorder="1" applyAlignment="1">
      <alignment horizontal="center" vertical="center" wrapText="1"/>
    </xf>
    <xf numFmtId="14" fontId="93" fillId="0" borderId="21" xfId="2" applyNumberFormat="1" applyFont="1" applyBorder="1" applyAlignment="1">
      <alignment horizontal="left"/>
    </xf>
    <xf numFmtId="0" fontId="133" fillId="0" borderId="0" xfId="2" applyFont="1"/>
    <xf numFmtId="0" fontId="132" fillId="0" borderId="0" xfId="2" applyFont="1" applyAlignment="1">
      <alignment horizontal="right" vertical="center"/>
    </xf>
    <xf numFmtId="0" fontId="134" fillId="0" borderId="0" xfId="2" applyFont="1" applyAlignment="1">
      <alignment horizontal="left" wrapText="1"/>
    </xf>
    <xf numFmtId="0" fontId="135" fillId="11" borderId="89" xfId="2" applyFont="1" applyFill="1" applyBorder="1" applyAlignment="1">
      <alignment horizontal="center" vertical="center" wrapText="1"/>
    </xf>
    <xf numFmtId="0" fontId="128" fillId="0" borderId="0" xfId="2" applyFont="1" applyAlignment="1">
      <alignment vertical="center"/>
    </xf>
    <xf numFmtId="0" fontId="137" fillId="0" borderId="67" xfId="2" applyFont="1" applyBorder="1" applyAlignment="1">
      <alignment horizontal="center" vertical="center" wrapText="1"/>
    </xf>
    <xf numFmtId="1" fontId="137" fillId="0" borderId="67" xfId="2" applyNumberFormat="1" applyFont="1" applyBorder="1" applyAlignment="1">
      <alignment horizontal="center" vertical="center"/>
    </xf>
    <xf numFmtId="3" fontId="138" fillId="11" borderId="35" xfId="2" applyNumberFormat="1" applyFont="1" applyFill="1" applyBorder="1" applyAlignment="1">
      <alignment horizontal="center" vertical="center"/>
    </xf>
    <xf numFmtId="0" fontId="137" fillId="0" borderId="67" xfId="2" applyFont="1" applyBorder="1" applyAlignment="1">
      <alignment horizontal="center" vertical="center"/>
    </xf>
    <xf numFmtId="0" fontId="139" fillId="0" borderId="67" xfId="2" applyFont="1" applyBorder="1" applyAlignment="1">
      <alignment horizontal="center" vertical="center" wrapText="1"/>
    </xf>
    <xf numFmtId="3" fontId="138" fillId="11" borderId="35" xfId="2" applyNumberFormat="1" applyFont="1" applyFill="1" applyBorder="1" applyAlignment="1">
      <alignment horizontal="center" vertical="center" wrapText="1"/>
    </xf>
    <xf numFmtId="3" fontId="139" fillId="0" borderId="67" xfId="2" applyNumberFormat="1" applyFont="1" applyBorder="1" applyAlignment="1">
      <alignment horizontal="center" vertical="center" wrapText="1"/>
    </xf>
    <xf numFmtId="9" fontId="139" fillId="0" borderId="67" xfId="2" applyNumberFormat="1" applyFont="1" applyBorder="1" applyAlignment="1">
      <alignment horizontal="center" vertical="center" wrapText="1"/>
    </xf>
    <xf numFmtId="9" fontId="136" fillId="0" borderId="67" xfId="2" applyNumberFormat="1" applyFont="1" applyBorder="1" applyAlignment="1">
      <alignment horizontal="center" vertical="center" wrapText="1"/>
    </xf>
    <xf numFmtId="3" fontId="138" fillId="11" borderId="40" xfId="2" applyNumberFormat="1" applyFont="1" applyFill="1" applyBorder="1" applyAlignment="1">
      <alignment horizontal="center" vertical="center" wrapText="1"/>
    </xf>
    <xf numFmtId="0" fontId="140" fillId="0" borderId="0" xfId="0" applyFont="1"/>
    <xf numFmtId="0" fontId="58" fillId="0" borderId="0" xfId="0" applyFont="1"/>
    <xf numFmtId="0" fontId="141" fillId="0" borderId="0" xfId="2" applyFont="1"/>
    <xf numFmtId="176" fontId="141" fillId="0" borderId="0" xfId="2" applyNumberFormat="1" applyFont="1"/>
    <xf numFmtId="0" fontId="142" fillId="0" borderId="3" xfId="2" applyFont="1" applyBorder="1"/>
    <xf numFmtId="176" fontId="142" fillId="0" borderId="3" xfId="2" applyNumberFormat="1" applyFont="1" applyBorder="1"/>
    <xf numFmtId="0" fontId="90" fillId="0" borderId="98" xfId="2" applyFont="1" applyBorder="1" applyAlignment="1">
      <alignment horizontal="left"/>
    </xf>
    <xf numFmtId="14" fontId="91" fillId="0" borderId="20" xfId="2" applyNumberFormat="1" applyFont="1" applyBorder="1" applyAlignment="1">
      <alignment horizontal="left"/>
    </xf>
    <xf numFmtId="37" fontId="1" fillId="0" borderId="24" xfId="2" applyNumberFormat="1" applyBorder="1"/>
    <xf numFmtId="176" fontId="1" fillId="0" borderId="24" xfId="2" applyNumberFormat="1" applyBorder="1"/>
    <xf numFmtId="43" fontId="1" fillId="0" borderId="24" xfId="2" applyNumberFormat="1" applyBorder="1"/>
    <xf numFmtId="49" fontId="25" fillId="11" borderId="89" xfId="2" applyNumberFormat="1" applyFont="1" applyFill="1" applyBorder="1" applyAlignment="1">
      <alignment horizontal="center" vertical="center"/>
    </xf>
    <xf numFmtId="49" fontId="25" fillId="11" borderId="35" xfId="2" applyNumberFormat="1" applyFont="1" applyFill="1" applyBorder="1" applyAlignment="1">
      <alignment horizontal="center" vertical="center"/>
    </xf>
    <xf numFmtId="0" fontId="98" fillId="0" borderId="110" xfId="2" applyFont="1" applyBorder="1"/>
    <xf numFmtId="0" fontId="104" fillId="0" borderId="109" xfId="2" applyFont="1" applyBorder="1" applyAlignment="1">
      <alignment vertical="center" wrapText="1"/>
    </xf>
    <xf numFmtId="178" fontId="98" fillId="0" borderId="110" xfId="2" applyNumberFormat="1" applyFont="1" applyBorder="1"/>
    <xf numFmtId="178" fontId="101" fillId="0" borderId="110" xfId="2" applyNumberFormat="1" applyFont="1" applyBorder="1"/>
    <xf numFmtId="178" fontId="98" fillId="7" borderId="110" xfId="2" applyNumberFormat="1" applyFont="1" applyFill="1" applyBorder="1" applyProtection="1">
      <protection locked="0"/>
    </xf>
    <xf numFmtId="0" fontId="98" fillId="7" borderId="110" xfId="2" applyFont="1" applyFill="1" applyBorder="1" applyProtection="1">
      <protection locked="0"/>
    </xf>
    <xf numFmtId="0" fontId="104" fillId="0" borderId="0" xfId="2" applyFont="1" applyAlignment="1">
      <alignment vertical="center" wrapText="1"/>
    </xf>
    <xf numFmtId="0" fontId="101" fillId="0" borderId="0" xfId="2" applyFont="1"/>
    <xf numFmtId="0" fontId="106" fillId="0" borderId="0" xfId="2" applyFont="1" applyAlignment="1">
      <alignment vertical="center" wrapText="1"/>
    </xf>
    <xf numFmtId="0" fontId="104" fillId="0" borderId="0" xfId="2" applyFont="1" applyAlignment="1">
      <alignment horizontal="center" wrapText="1"/>
    </xf>
    <xf numFmtId="0" fontId="104" fillId="0" borderId="0" xfId="2" applyFont="1" applyAlignment="1">
      <alignment horizontal="center" vertical="center" wrapText="1"/>
    </xf>
    <xf numFmtId="178" fontId="40" fillId="0" borderId="0" xfId="2" applyNumberFormat="1" applyFont="1"/>
    <xf numFmtId="181" fontId="40" fillId="0" borderId="0" xfId="2" applyNumberFormat="1" applyFont="1"/>
    <xf numFmtId="10" fontId="91" fillId="7" borderId="24" xfId="2" applyNumberFormat="1" applyFont="1" applyFill="1" applyBorder="1" applyProtection="1">
      <protection locked="0"/>
    </xf>
    <xf numFmtId="10" fontId="91" fillId="0" borderId="24" xfId="2" applyNumberFormat="1" applyFont="1" applyBorder="1"/>
    <xf numFmtId="178" fontId="98" fillId="7" borderId="24" xfId="2" applyNumberFormat="1" applyFont="1" applyFill="1" applyBorder="1" applyProtection="1">
      <protection locked="0"/>
    </xf>
    <xf numFmtId="178" fontId="101" fillId="0" borderId="24" xfId="2" applyNumberFormat="1" applyFont="1" applyBorder="1"/>
    <xf numFmtId="178" fontId="98" fillId="0" borderId="24" xfId="2" applyNumberFormat="1" applyFont="1" applyBorder="1"/>
    <xf numFmtId="1" fontId="105" fillId="13" borderId="111" xfId="0" applyNumberFormat="1" applyFont="1" applyFill="1" applyBorder="1" applyProtection="1">
      <protection locked="0"/>
    </xf>
    <xf numFmtId="178" fontId="98" fillId="0" borderId="0" xfId="2" applyNumberFormat="1" applyFont="1"/>
    <xf numFmtId="182" fontId="98" fillId="0" borderId="24" xfId="2" applyNumberFormat="1" applyFont="1" applyBorder="1"/>
    <xf numFmtId="182" fontId="105" fillId="7" borderId="24" xfId="0" applyNumberFormat="1" applyFont="1" applyFill="1" applyBorder="1" applyProtection="1">
      <protection locked="0"/>
    </xf>
    <xf numFmtId="179" fontId="40" fillId="0" borderId="0" xfId="2" applyNumberFormat="1" applyFont="1"/>
    <xf numFmtId="183" fontId="40" fillId="0" borderId="0" xfId="2" applyNumberFormat="1" applyFont="1"/>
    <xf numFmtId="178" fontId="105" fillId="7" borderId="41" xfId="0" applyNumberFormat="1" applyFont="1" applyFill="1" applyBorder="1" applyProtection="1">
      <protection locked="0"/>
    </xf>
    <xf numFmtId="178" fontId="105" fillId="7" borderId="57" xfId="0" applyNumberFormat="1" applyFont="1" applyFill="1" applyBorder="1" applyProtection="1">
      <protection locked="0"/>
    </xf>
    <xf numFmtId="0" fontId="111" fillId="0" borderId="0" xfId="0" applyFont="1" applyAlignment="1">
      <alignment wrapText="1"/>
    </xf>
    <xf numFmtId="178" fontId="105" fillId="0" borderId="0" xfId="0" applyNumberFormat="1" applyFont="1" applyProtection="1">
      <protection locked="0"/>
    </xf>
    <xf numFmtId="0" fontId="104" fillId="18" borderId="41" xfId="2" applyFont="1" applyFill="1" applyBorder="1" applyAlignment="1">
      <alignment vertical="center" wrapText="1"/>
    </xf>
    <xf numFmtId="0" fontId="106" fillId="20" borderId="0" xfId="2" applyFont="1" applyFill="1" applyAlignment="1">
      <alignment vertical="center" wrapText="1"/>
    </xf>
    <xf numFmtId="182" fontId="98" fillId="0" borderId="26" xfId="2" applyNumberFormat="1" applyFont="1" applyBorder="1"/>
    <xf numFmtId="0" fontId="106" fillId="20" borderId="50" xfId="2" applyFont="1" applyFill="1" applyBorder="1" applyAlignment="1">
      <alignment vertical="center" wrapText="1"/>
    </xf>
    <xf numFmtId="182" fontId="98" fillId="0" borderId="22" xfId="2" applyNumberFormat="1" applyFont="1" applyBorder="1"/>
    <xf numFmtId="179" fontId="98" fillId="0" borderId="27" xfId="2" applyNumberFormat="1" applyFont="1" applyBorder="1"/>
    <xf numFmtId="0" fontId="106" fillId="20" borderId="59" xfId="2" applyFont="1" applyFill="1" applyBorder="1" applyAlignment="1">
      <alignment vertical="center" wrapText="1"/>
    </xf>
    <xf numFmtId="179" fontId="98" fillId="0" borderId="21" xfId="2" applyNumberFormat="1" applyFont="1" applyBorder="1"/>
    <xf numFmtId="182" fontId="98" fillId="0" borderId="20" xfId="2" applyNumberFormat="1" applyFont="1" applyBorder="1"/>
    <xf numFmtId="182" fontId="101" fillId="7" borderId="20" xfId="2" applyNumberFormat="1" applyFont="1" applyFill="1" applyBorder="1" applyProtection="1">
      <protection locked="0"/>
    </xf>
    <xf numFmtId="182" fontId="98" fillId="0" borderId="21" xfId="2" applyNumberFormat="1" applyFont="1" applyBorder="1"/>
    <xf numFmtId="0" fontId="91" fillId="0" borderId="18" xfId="2" applyFont="1" applyBorder="1" applyAlignment="1">
      <alignment wrapText="1"/>
    </xf>
    <xf numFmtId="178" fontId="91" fillId="0" borderId="20" xfId="2" applyNumberFormat="1" applyFont="1" applyBorder="1"/>
    <xf numFmtId="0" fontId="91" fillId="0" borderId="18" xfId="2" applyFont="1" applyBorder="1"/>
    <xf numFmtId="178" fontId="101" fillId="7" borderId="20" xfId="2" applyNumberFormat="1" applyFont="1" applyFill="1" applyBorder="1" applyProtection="1">
      <protection locked="0"/>
    </xf>
    <xf numFmtId="178" fontId="105" fillId="7" borderId="21" xfId="0" applyNumberFormat="1" applyFont="1" applyFill="1" applyBorder="1" applyProtection="1">
      <protection locked="0"/>
    </xf>
    <xf numFmtId="0" fontId="101" fillId="20" borderId="50" xfId="2" applyFont="1" applyFill="1" applyBorder="1"/>
    <xf numFmtId="182" fontId="101" fillId="0" borderId="27" xfId="2" applyNumberFormat="1" applyFont="1" applyBorder="1"/>
    <xf numFmtId="10" fontId="101" fillId="0" borderId="20" xfId="2" applyNumberFormat="1" applyFont="1" applyBorder="1"/>
    <xf numFmtId="178" fontId="98" fillId="0" borderId="114" xfId="2" applyNumberFormat="1" applyFont="1" applyBorder="1"/>
    <xf numFmtId="0" fontId="95" fillId="0" borderId="45" xfId="2" applyFont="1" applyBorder="1"/>
    <xf numFmtId="0" fontId="95" fillId="0" borderId="47" xfId="2" applyFont="1" applyBorder="1"/>
    <xf numFmtId="0" fontId="40" fillId="0" borderId="45" xfId="2" applyFont="1" applyBorder="1"/>
    <xf numFmtId="0" fontId="40" fillId="0" borderId="47" xfId="2" applyFont="1" applyBorder="1"/>
    <xf numFmtId="0" fontId="0" fillId="0" borderId="0" xfId="0" applyAlignment="1">
      <alignment horizontal="left" vertical="center" indent="1"/>
    </xf>
    <xf numFmtId="0" fontId="0" fillId="0" borderId="0" xfId="0" applyAlignment="1" applyProtection="1">
      <alignment horizontal="center" wrapText="1"/>
      <protection locked="0"/>
    </xf>
    <xf numFmtId="0" fontId="0" fillId="9" borderId="0" xfId="0" applyFill="1" applyAlignment="1">
      <alignment wrapText="1"/>
    </xf>
    <xf numFmtId="0" fontId="59" fillId="9" borderId="0" xfId="0" applyFont="1" applyFill="1" applyAlignment="1">
      <alignment wrapText="1"/>
    </xf>
    <xf numFmtId="0" fontId="0" fillId="9" borderId="0" xfId="0" applyFill="1"/>
    <xf numFmtId="0" fontId="0" fillId="0" borderId="1" xfId="0" applyBorder="1"/>
    <xf numFmtId="0" fontId="6" fillId="0" borderId="0" xfId="0" applyFont="1" applyAlignment="1">
      <alignment horizontal="left" vertical="center" indent="1"/>
    </xf>
    <xf numFmtId="49" fontId="52" fillId="0" borderId="0" xfId="0" applyNumberFormat="1" applyFont="1" applyAlignment="1">
      <alignment horizontal="right" wrapText="1"/>
    </xf>
    <xf numFmtId="0" fontId="49" fillId="0" borderId="0" xfId="0" applyFont="1" applyAlignment="1" applyProtection="1">
      <alignment horizontal="right" wrapText="1"/>
      <protection locked="0"/>
    </xf>
    <xf numFmtId="49" fontId="52" fillId="0" borderId="0" xfId="0" applyNumberFormat="1" applyFont="1" applyAlignment="1">
      <alignment horizontal="center" wrapText="1"/>
    </xf>
    <xf numFmtId="0" fontId="42" fillId="0" borderId="24" xfId="0" applyFont="1" applyBorder="1" applyAlignment="1">
      <alignment wrapText="1"/>
    </xf>
    <xf numFmtId="0" fontId="42" fillId="0" borderId="27" xfId="0" applyFont="1" applyBorder="1" applyAlignment="1">
      <alignment wrapText="1"/>
    </xf>
    <xf numFmtId="0" fontId="42" fillId="0" borderId="0" xfId="0" applyFont="1" applyAlignment="1">
      <alignment wrapText="1"/>
    </xf>
    <xf numFmtId="0" fontId="116" fillId="0" borderId="26" xfId="0" applyFont="1" applyBorder="1" applyAlignment="1">
      <alignment vertical="center"/>
    </xf>
    <xf numFmtId="0" fontId="116" fillId="0" borderId="24" xfId="0" applyFont="1" applyBorder="1" applyAlignment="1">
      <alignment vertical="center"/>
    </xf>
    <xf numFmtId="0" fontId="116" fillId="0" borderId="27" xfId="0" applyFont="1" applyBorder="1" applyAlignment="1">
      <alignment vertical="center"/>
    </xf>
    <xf numFmtId="0" fontId="117" fillId="0" borderId="26" xfId="0" applyFont="1" applyBorder="1" applyAlignment="1">
      <alignment vertical="center"/>
    </xf>
    <xf numFmtId="0" fontId="117" fillId="0" borderId="24" xfId="0" applyFont="1" applyBorder="1" applyAlignment="1">
      <alignment vertical="center"/>
    </xf>
    <xf numFmtId="0" fontId="117" fillId="0" borderId="27" xfId="0" applyFont="1" applyBorder="1" applyAlignment="1">
      <alignment vertical="center"/>
    </xf>
    <xf numFmtId="0" fontId="146" fillId="0" borderId="24" xfId="0" applyFont="1" applyBorder="1" applyAlignment="1">
      <alignment wrapText="1"/>
    </xf>
    <xf numFmtId="0" fontId="147" fillId="0" borderId="24" xfId="0" applyFont="1" applyBorder="1" applyAlignment="1">
      <alignment wrapText="1"/>
    </xf>
    <xf numFmtId="0" fontId="149" fillId="0" borderId="0" xfId="0" applyFont="1" applyAlignment="1">
      <alignment horizontal="left" vertical="center" readingOrder="1"/>
    </xf>
    <xf numFmtId="0" fontId="150" fillId="0" borderId="0" xfId="0" applyFont="1" applyAlignment="1">
      <alignment horizontal="left" vertical="center" readingOrder="1"/>
    </xf>
    <xf numFmtId="0" fontId="151" fillId="0" borderId="0" xfId="0" applyFont="1" applyAlignment="1">
      <alignment horizontal="left" vertical="center" readingOrder="1"/>
    </xf>
    <xf numFmtId="0" fontId="152" fillId="0" borderId="0" xfId="0" applyFont="1"/>
    <xf numFmtId="0" fontId="153" fillId="0" borderId="0" xfId="0" applyFont="1" applyAlignment="1">
      <alignment horizontal="left" vertical="center" readingOrder="1"/>
    </xf>
    <xf numFmtId="0" fontId="154" fillId="0" borderId="0" xfId="0" applyFont="1" applyAlignment="1">
      <alignment horizontal="left" vertical="center" readingOrder="1"/>
    </xf>
    <xf numFmtId="0" fontId="155" fillId="0" borderId="0" xfId="0" applyFont="1" applyAlignment="1">
      <alignment horizontal="left" vertical="center" readingOrder="1"/>
    </xf>
    <xf numFmtId="0" fontId="156" fillId="0" borderId="0" xfId="0" applyFont="1" applyAlignment="1">
      <alignment horizontal="left" vertical="center" readingOrder="1"/>
    </xf>
    <xf numFmtId="0" fontId="156" fillId="0" borderId="0" xfId="0" applyFont="1"/>
    <xf numFmtId="0" fontId="157" fillId="0" borderId="0" xfId="0" applyFont="1"/>
    <xf numFmtId="0" fontId="158" fillId="0" borderId="24" xfId="0" applyFont="1" applyBorder="1" applyAlignment="1">
      <alignment vertical="center" wrapText="1"/>
    </xf>
    <xf numFmtId="0" fontId="158" fillId="0" borderId="24" xfId="0" applyFont="1" applyBorder="1" applyAlignment="1">
      <alignment horizontal="left" vertical="center" wrapText="1"/>
    </xf>
    <xf numFmtId="0" fontId="161" fillId="0" borderId="18" xfId="0" applyFont="1" applyBorder="1" applyAlignment="1">
      <alignment horizontal="left" vertical="center" wrapText="1"/>
    </xf>
    <xf numFmtId="0" fontId="162" fillId="0" borderId="120" xfId="0" applyFont="1" applyBorder="1" applyAlignment="1">
      <alignment vertical="center" wrapText="1"/>
    </xf>
    <xf numFmtId="179" fontId="162" fillId="10" borderId="80" xfId="0" applyNumberFormat="1" applyFont="1" applyFill="1" applyBorder="1" applyAlignment="1">
      <alignment horizontal="left" vertical="center" wrapText="1"/>
    </xf>
    <xf numFmtId="0" fontId="160" fillId="0" borderId="19" xfId="0" applyFont="1" applyBorder="1" applyAlignment="1">
      <alignment wrapText="1"/>
    </xf>
    <xf numFmtId="0" fontId="160" fillId="0" borderId="26" xfId="0" applyFont="1" applyBorder="1" applyAlignment="1">
      <alignment wrapText="1"/>
    </xf>
    <xf numFmtId="0" fontId="162" fillId="0" borderId="121" xfId="0" applyFont="1" applyBorder="1" applyAlignment="1">
      <alignment vertical="center" wrapText="1"/>
    </xf>
    <xf numFmtId="0" fontId="160" fillId="0" borderId="22" xfId="0" applyFont="1" applyBorder="1" applyAlignment="1">
      <alignment wrapText="1"/>
    </xf>
    <xf numFmtId="179" fontId="158" fillId="0" borderId="20" xfId="0" applyNumberFormat="1" applyFont="1" applyBorder="1" applyAlignment="1">
      <alignment horizontal="left" vertical="center" wrapText="1"/>
    </xf>
    <xf numFmtId="179" fontId="162" fillId="10" borderId="20" xfId="0" applyNumberFormat="1" applyFont="1" applyFill="1" applyBorder="1" applyAlignment="1" applyProtection="1">
      <alignment horizontal="left" vertical="center" wrapText="1"/>
      <protection locked="0"/>
    </xf>
    <xf numFmtId="0" fontId="63" fillId="10" borderId="20" xfId="0" applyFont="1" applyFill="1" applyBorder="1" applyAlignment="1" applyProtection="1">
      <alignment vertical="center" wrapText="1"/>
      <protection locked="0"/>
    </xf>
    <xf numFmtId="179" fontId="63" fillId="10" borderId="20" xfId="0" applyNumberFormat="1" applyFont="1" applyFill="1" applyBorder="1" applyAlignment="1" applyProtection="1">
      <alignment horizontal="left" vertical="center" wrapText="1"/>
      <protection locked="0"/>
    </xf>
    <xf numFmtId="0" fontId="49" fillId="0" borderId="122" xfId="0" applyFont="1" applyBorder="1" applyAlignment="1">
      <alignment vertical="center" wrapText="1"/>
    </xf>
    <xf numFmtId="179" fontId="49" fillId="10" borderId="89" xfId="0" applyNumberFormat="1" applyFont="1" applyFill="1" applyBorder="1" applyAlignment="1" applyProtection="1">
      <alignment horizontal="left" vertical="center" wrapText="1"/>
      <protection locked="0"/>
    </xf>
    <xf numFmtId="179" fontId="49" fillId="10" borderId="123" xfId="0" applyNumberFormat="1" applyFont="1" applyFill="1" applyBorder="1" applyAlignment="1" applyProtection="1">
      <alignment horizontal="left" vertical="center" wrapText="1"/>
      <protection locked="0"/>
    </xf>
    <xf numFmtId="0" fontId="49" fillId="10" borderId="123" xfId="0" applyFont="1" applyFill="1" applyBorder="1" applyAlignment="1" applyProtection="1">
      <alignment horizontal="left" vertical="center" wrapText="1"/>
      <protection locked="0"/>
    </xf>
    <xf numFmtId="0" fontId="49" fillId="10" borderId="93" xfId="0" applyFont="1" applyFill="1" applyBorder="1" applyAlignment="1" applyProtection="1">
      <alignment horizontal="left" vertical="center" wrapText="1"/>
      <protection locked="0"/>
    </xf>
    <xf numFmtId="0" fontId="49" fillId="10" borderId="124" xfId="0" applyFont="1" applyFill="1" applyBorder="1" applyAlignment="1" applyProtection="1">
      <alignment horizontal="left" vertical="center" wrapText="1"/>
      <protection locked="0"/>
    </xf>
    <xf numFmtId="179" fontId="49" fillId="10" borderId="124" xfId="0" applyNumberFormat="1" applyFont="1" applyFill="1" applyBorder="1" applyAlignment="1" applyProtection="1">
      <alignment horizontal="left" vertical="center" wrapText="1"/>
      <protection locked="0"/>
    </xf>
    <xf numFmtId="9" fontId="49" fillId="10" borderId="89" xfId="0" applyNumberFormat="1" applyFont="1" applyFill="1" applyBorder="1" applyAlignment="1" applyProtection="1">
      <alignment horizontal="left" vertical="center" wrapText="1"/>
      <protection locked="0"/>
    </xf>
    <xf numFmtId="10" fontId="49" fillId="10" borderId="89" xfId="0" applyNumberFormat="1" applyFont="1" applyFill="1" applyBorder="1" applyAlignment="1" applyProtection="1">
      <alignment horizontal="left" vertical="center" wrapText="1"/>
      <protection locked="0"/>
    </xf>
    <xf numFmtId="0" fontId="160" fillId="10" borderId="122" xfId="0" applyFont="1" applyFill="1" applyBorder="1" applyAlignment="1" applyProtection="1">
      <alignment horizontal="center" vertical="center" wrapText="1"/>
      <protection locked="0"/>
    </xf>
    <xf numFmtId="0" fontId="161" fillId="10" borderId="90" xfId="0" applyFont="1" applyFill="1" applyBorder="1" applyAlignment="1" applyProtection="1">
      <alignment horizontal="center" vertical="center" wrapText="1"/>
      <protection locked="0"/>
    </xf>
    <xf numFmtId="0" fontId="49" fillId="10" borderId="90" xfId="0" applyFont="1" applyFill="1" applyBorder="1" applyAlignment="1" applyProtection="1">
      <alignment horizontal="left" vertical="center" wrapText="1"/>
      <protection locked="0"/>
    </xf>
    <xf numFmtId="0" fontId="1" fillId="0" borderId="0" xfId="2" applyAlignment="1">
      <alignment horizontal="center"/>
    </xf>
    <xf numFmtId="0" fontId="0" fillId="22" borderId="24" xfId="0" applyFill="1" applyBorder="1" applyAlignment="1" applyProtection="1">
      <alignment wrapText="1"/>
      <protection locked="0"/>
    </xf>
    <xf numFmtId="0" fontId="0" fillId="22" borderId="30" xfId="0" applyFill="1" applyBorder="1" applyAlignment="1" applyProtection="1">
      <alignment wrapText="1"/>
      <protection locked="0"/>
    </xf>
    <xf numFmtId="0" fontId="0" fillId="22" borderId="38" xfId="0" applyFill="1" applyBorder="1" applyAlignment="1" applyProtection="1">
      <alignment wrapText="1"/>
      <protection locked="0"/>
    </xf>
    <xf numFmtId="0" fontId="99" fillId="22" borderId="20" xfId="0" applyFont="1" applyFill="1" applyBorder="1" applyProtection="1">
      <protection locked="0"/>
    </xf>
    <xf numFmtId="0" fontId="99" fillId="22" borderId="21" xfId="0" applyFont="1" applyFill="1" applyBorder="1" applyProtection="1">
      <protection locked="0"/>
    </xf>
    <xf numFmtId="177" fontId="98" fillId="22" borderId="24" xfId="2" applyNumberFormat="1" applyFont="1" applyFill="1" applyBorder="1" applyAlignment="1" applyProtection="1">
      <alignment horizontal="right"/>
      <protection locked="0"/>
    </xf>
    <xf numFmtId="1" fontId="105" fillId="24" borderId="1" xfId="0" applyNumberFormat="1" applyFont="1" applyFill="1" applyBorder="1" applyProtection="1">
      <protection locked="0"/>
    </xf>
    <xf numFmtId="0" fontId="165" fillId="22" borderId="105" xfId="2" applyFont="1" applyFill="1" applyBorder="1"/>
    <xf numFmtId="177" fontId="166" fillId="22" borderId="24" xfId="2" applyNumberFormat="1" applyFont="1" applyFill="1" applyBorder="1" applyProtection="1">
      <protection locked="0"/>
    </xf>
    <xf numFmtId="0" fontId="168" fillId="10" borderId="18" xfId="0" applyFont="1" applyFill="1" applyBorder="1" applyAlignment="1">
      <alignment wrapText="1"/>
    </xf>
    <xf numFmtId="0" fontId="170" fillId="10" borderId="19" xfId="0" applyFont="1" applyFill="1" applyBorder="1" applyAlignment="1" applyProtection="1">
      <alignment wrapText="1"/>
      <protection locked="0"/>
    </xf>
    <xf numFmtId="0" fontId="170" fillId="10" borderId="26" xfId="0" applyFont="1" applyFill="1" applyBorder="1" applyAlignment="1" applyProtection="1">
      <alignment wrapText="1"/>
      <protection locked="0"/>
    </xf>
    <xf numFmtId="0" fontId="170" fillId="10" borderId="36" xfId="0" applyFont="1" applyFill="1" applyBorder="1" applyAlignment="1" applyProtection="1">
      <alignment wrapText="1"/>
      <protection locked="0"/>
    </xf>
    <xf numFmtId="0" fontId="173" fillId="10" borderId="19" xfId="0" applyFont="1" applyFill="1" applyBorder="1" applyAlignment="1">
      <alignment horizontal="left" wrapText="1"/>
    </xf>
    <xf numFmtId="0" fontId="174" fillId="10" borderId="18" xfId="0" applyFont="1" applyFill="1" applyBorder="1" applyAlignment="1" applyProtection="1">
      <alignment vertical="center" wrapText="1"/>
      <protection locked="0"/>
    </xf>
    <xf numFmtId="0" fontId="175" fillId="10" borderId="26" xfId="0" applyFont="1" applyFill="1" applyBorder="1" applyAlignment="1">
      <alignment horizontal="left" wrapText="1"/>
    </xf>
    <xf numFmtId="0" fontId="176" fillId="10" borderId="26" xfId="0" applyFont="1" applyFill="1" applyBorder="1" applyAlignment="1" applyProtection="1">
      <alignment wrapText="1"/>
      <protection locked="0"/>
    </xf>
    <xf numFmtId="0" fontId="176" fillId="10" borderId="22" xfId="0" applyFont="1" applyFill="1" applyBorder="1" applyAlignment="1" applyProtection="1">
      <alignment wrapText="1"/>
      <protection locked="0"/>
    </xf>
    <xf numFmtId="0" fontId="178" fillId="10" borderId="19" xfId="0" applyFont="1" applyFill="1" applyBorder="1" applyAlignment="1">
      <alignment wrapText="1"/>
    </xf>
    <xf numFmtId="0" fontId="179" fillId="10" borderId="18" xfId="0" applyFont="1" applyFill="1" applyBorder="1" applyAlignment="1" applyProtection="1">
      <alignment vertical="center" wrapText="1"/>
      <protection locked="0"/>
    </xf>
    <xf numFmtId="0" fontId="180" fillId="10" borderId="26" xfId="0" applyFont="1" applyFill="1" applyBorder="1" applyAlignment="1" applyProtection="1">
      <alignment wrapText="1"/>
      <protection locked="0"/>
    </xf>
    <xf numFmtId="0" fontId="170" fillId="10" borderId="50" xfId="0" applyFont="1" applyFill="1" applyBorder="1" applyAlignment="1" applyProtection="1">
      <alignment wrapText="1"/>
      <protection locked="0"/>
    </xf>
    <xf numFmtId="0" fontId="15" fillId="22" borderId="24" xfId="0" applyFont="1" applyFill="1" applyBorder="1" applyAlignment="1" applyProtection="1">
      <alignment wrapText="1"/>
      <protection locked="0"/>
    </xf>
    <xf numFmtId="3" fontId="0" fillId="22" borderId="20" xfId="0" applyNumberFormat="1" applyFill="1" applyBorder="1" applyAlignment="1" applyProtection="1">
      <alignment wrapText="1"/>
      <protection locked="0"/>
    </xf>
    <xf numFmtId="0" fontId="0" fillId="22" borderId="20" xfId="0" applyFill="1" applyBorder="1" applyAlignment="1" applyProtection="1">
      <alignment wrapText="1"/>
      <protection locked="0"/>
    </xf>
    <xf numFmtId="0" fontId="0" fillId="22" borderId="42" xfId="0" applyFill="1" applyBorder="1" applyAlignment="1" applyProtection="1">
      <alignment wrapText="1"/>
      <protection locked="0"/>
    </xf>
    <xf numFmtId="0" fontId="169" fillId="10" borderId="19" xfId="0" applyFont="1" applyFill="1" applyBorder="1" applyAlignment="1">
      <alignment vertical="center" wrapText="1"/>
    </xf>
    <xf numFmtId="0" fontId="181" fillId="25" borderId="26" xfId="0" applyFont="1" applyFill="1" applyBorder="1" applyAlignment="1" applyProtection="1">
      <alignment wrapText="1"/>
      <protection locked="0"/>
    </xf>
    <xf numFmtId="0" fontId="181" fillId="25" borderId="36" xfId="0" applyFont="1" applyFill="1" applyBorder="1" applyAlignment="1" applyProtection="1">
      <alignment wrapText="1"/>
      <protection locked="0"/>
    </xf>
    <xf numFmtId="0" fontId="181" fillId="25" borderId="24" xfId="0" applyFont="1" applyFill="1" applyBorder="1" applyAlignment="1" applyProtection="1">
      <alignment wrapText="1"/>
      <protection locked="0"/>
    </xf>
    <xf numFmtId="0" fontId="181" fillId="25" borderId="27" xfId="0" applyFont="1" applyFill="1" applyBorder="1" applyAlignment="1" applyProtection="1">
      <alignment wrapText="1"/>
      <protection locked="0"/>
    </xf>
    <xf numFmtId="0" fontId="183" fillId="21" borderId="24" xfId="0" applyFont="1" applyFill="1" applyBorder="1" applyAlignment="1" applyProtection="1">
      <alignment wrapText="1"/>
      <protection locked="0"/>
    </xf>
    <xf numFmtId="0" fontId="181" fillId="25" borderId="57" xfId="0" applyFont="1" applyFill="1" applyBorder="1" applyAlignment="1" applyProtection="1">
      <alignment horizontal="right" wrapText="1"/>
      <protection locked="0"/>
    </xf>
    <xf numFmtId="0" fontId="181" fillId="25" borderId="57" xfId="0" applyFont="1" applyFill="1" applyBorder="1" applyAlignment="1" applyProtection="1">
      <alignment horizontal="center" wrapText="1"/>
      <protection locked="0"/>
    </xf>
    <xf numFmtId="0" fontId="184" fillId="25" borderId="24" xfId="0" applyFont="1" applyFill="1" applyBorder="1" applyAlignment="1" applyProtection="1">
      <alignment wrapText="1"/>
      <protection locked="0"/>
    </xf>
    <xf numFmtId="0" fontId="0" fillId="12" borderId="27" xfId="0" applyFill="1" applyBorder="1" applyAlignment="1" applyProtection="1">
      <alignment wrapText="1"/>
      <protection locked="0"/>
    </xf>
    <xf numFmtId="0" fontId="181" fillId="25" borderId="31" xfId="0" applyFont="1" applyFill="1" applyBorder="1" applyAlignment="1" applyProtection="1">
      <alignment wrapText="1"/>
      <protection locked="0"/>
    </xf>
    <xf numFmtId="0" fontId="181" fillId="25" borderId="37" xfId="0" applyFont="1" applyFill="1" applyBorder="1" applyAlignment="1" applyProtection="1">
      <alignment wrapText="1"/>
      <protection locked="0"/>
    </xf>
    <xf numFmtId="0" fontId="183" fillId="21" borderId="24" xfId="0" applyFont="1" applyFill="1" applyBorder="1" applyAlignment="1" applyProtection="1">
      <alignment horizontal="center" wrapText="1"/>
      <protection locked="0"/>
    </xf>
    <xf numFmtId="0" fontId="183" fillId="21" borderId="24" xfId="0" applyFont="1" applyFill="1" applyBorder="1" applyAlignment="1">
      <alignment horizontal="center" wrapText="1"/>
    </xf>
    <xf numFmtId="1" fontId="183" fillId="21" borderId="24" xfId="0" applyNumberFormat="1" applyFont="1" applyFill="1" applyBorder="1" applyAlignment="1" applyProtection="1">
      <alignment horizontal="center" wrapText="1"/>
      <protection locked="0"/>
    </xf>
    <xf numFmtId="0" fontId="183" fillId="21" borderId="26" xfId="0" applyFont="1" applyFill="1" applyBorder="1" applyAlignment="1" applyProtection="1">
      <alignment wrapText="1"/>
      <protection locked="0"/>
    </xf>
    <xf numFmtId="0" fontId="183" fillId="21" borderId="36" xfId="0" applyFont="1" applyFill="1" applyBorder="1" applyAlignment="1" applyProtection="1">
      <alignment wrapText="1"/>
      <protection locked="0"/>
    </xf>
    <xf numFmtId="14" fontId="183" fillId="21" borderId="27" xfId="0" applyNumberFormat="1" applyFont="1" applyFill="1" applyBorder="1" applyAlignment="1" applyProtection="1">
      <alignment wrapText="1"/>
      <protection locked="0"/>
    </xf>
    <xf numFmtId="14" fontId="183" fillId="21" borderId="37" xfId="0" applyNumberFormat="1" applyFont="1" applyFill="1" applyBorder="1" applyAlignment="1" applyProtection="1">
      <alignment wrapText="1"/>
      <protection locked="0"/>
    </xf>
    <xf numFmtId="0" fontId="183" fillId="21" borderId="31" xfId="0" applyFont="1" applyFill="1" applyBorder="1" applyAlignment="1" applyProtection="1">
      <alignment wrapText="1"/>
      <protection locked="0"/>
    </xf>
    <xf numFmtId="0" fontId="174" fillId="10" borderId="23" xfId="0" applyFont="1" applyFill="1" applyBorder="1" applyAlignment="1" applyProtection="1">
      <alignment vertical="center" wrapText="1"/>
      <protection locked="0"/>
    </xf>
    <xf numFmtId="0" fontId="0" fillId="22" borderId="21" xfId="0" applyFill="1" applyBorder="1" applyAlignment="1" applyProtection="1">
      <alignment wrapText="1"/>
      <protection locked="0"/>
    </xf>
    <xf numFmtId="3" fontId="0" fillId="22" borderId="21" xfId="0" applyNumberFormat="1" applyFill="1" applyBorder="1" applyAlignment="1" applyProtection="1">
      <alignment wrapText="1"/>
      <protection locked="0"/>
    </xf>
    <xf numFmtId="0" fontId="48" fillId="0" borderId="45" xfId="0" applyFont="1" applyBorder="1" applyAlignment="1" applyProtection="1">
      <alignment vertical="center" wrapText="1"/>
      <protection locked="0"/>
    </xf>
    <xf numFmtId="0" fontId="15" fillId="0" borderId="0" xfId="0" applyFont="1" applyAlignment="1" applyProtection="1">
      <alignment wrapText="1"/>
      <protection locked="0"/>
    </xf>
    <xf numFmtId="0" fontId="0" fillId="0" borderId="0" xfId="0" applyAlignment="1" applyProtection="1">
      <alignment wrapText="1"/>
      <protection locked="0"/>
    </xf>
    <xf numFmtId="3" fontId="0" fillId="0" borderId="0" xfId="0" applyNumberFormat="1" applyAlignment="1" applyProtection="1">
      <alignment wrapText="1"/>
      <protection locked="0"/>
    </xf>
    <xf numFmtId="3" fontId="0" fillId="0" borderId="47" xfId="0" applyNumberFormat="1" applyBorder="1" applyAlignment="1" applyProtection="1">
      <alignment wrapText="1"/>
      <protection locked="0"/>
    </xf>
    <xf numFmtId="0" fontId="170" fillId="10" borderId="43" xfId="0" applyFont="1" applyFill="1" applyBorder="1" applyAlignment="1" applyProtection="1">
      <alignment wrapText="1"/>
      <protection locked="0"/>
    </xf>
    <xf numFmtId="0" fontId="6" fillId="0" borderId="41" xfId="0" applyFont="1" applyBorder="1" applyAlignment="1" applyProtection="1">
      <alignment wrapText="1"/>
      <protection locked="0"/>
    </xf>
    <xf numFmtId="0" fontId="169" fillId="10" borderId="43" xfId="0" applyFont="1" applyFill="1" applyBorder="1" applyAlignment="1">
      <alignment vertical="center" wrapText="1"/>
    </xf>
    <xf numFmtId="0" fontId="51" fillId="10" borderId="120" xfId="0" applyFont="1" applyFill="1" applyBorder="1" applyAlignment="1">
      <alignment wrapText="1"/>
    </xf>
    <xf numFmtId="0" fontId="50" fillId="10" borderId="80" xfId="0" applyFont="1" applyFill="1" applyBorder="1" applyAlignment="1">
      <alignment horizontal="center" wrapText="1"/>
    </xf>
    <xf numFmtId="0" fontId="50" fillId="10" borderId="66" xfId="0" applyFont="1" applyFill="1" applyBorder="1" applyAlignment="1">
      <alignment horizontal="center" wrapText="1"/>
    </xf>
    <xf numFmtId="0" fontId="0" fillId="0" borderId="45" xfId="0" applyBorder="1" applyAlignment="1">
      <alignment vertical="center" wrapText="1"/>
    </xf>
    <xf numFmtId="0" fontId="0" fillId="0" borderId="0" xfId="0" applyAlignment="1" applyProtection="1">
      <alignment vertical="top" wrapText="1"/>
      <protection locked="0"/>
    </xf>
    <xf numFmtId="0" fontId="0" fillId="0" borderId="47" xfId="0" applyBorder="1" applyAlignment="1" applyProtection="1">
      <alignment vertical="top" wrapText="1"/>
      <protection locked="0"/>
    </xf>
    <xf numFmtId="0" fontId="54" fillId="0" borderId="45" xfId="0" applyFont="1" applyBorder="1" applyAlignment="1">
      <alignment vertical="center" wrapText="1"/>
    </xf>
    <xf numFmtId="0" fontId="0" fillId="0" borderId="0" xfId="0" applyAlignment="1" applyProtection="1">
      <alignment horizontal="center" vertical="top" wrapText="1"/>
      <protection locked="0"/>
    </xf>
    <xf numFmtId="0" fontId="0" fillId="0" borderId="47" xfId="0" applyBorder="1" applyAlignment="1" applyProtection="1">
      <alignment horizontal="center" vertical="top" wrapText="1"/>
      <protection locked="0"/>
    </xf>
    <xf numFmtId="0" fontId="168" fillId="10" borderId="19" xfId="0" applyFont="1" applyFill="1" applyBorder="1" applyAlignment="1">
      <alignment wrapText="1"/>
    </xf>
    <xf numFmtId="0" fontId="168" fillId="10" borderId="26" xfId="0" applyFont="1" applyFill="1" applyBorder="1" applyAlignment="1">
      <alignment wrapText="1"/>
    </xf>
    <xf numFmtId="0" fontId="168" fillId="10" borderId="26" xfId="0" applyFont="1" applyFill="1" applyBorder="1" applyAlignment="1" applyProtection="1">
      <alignment horizontal="center" wrapText="1"/>
      <protection locked="0"/>
    </xf>
    <xf numFmtId="0" fontId="168" fillId="10" borderId="26" xfId="0" applyFont="1" applyFill="1" applyBorder="1" applyAlignment="1" applyProtection="1">
      <alignment wrapText="1"/>
      <protection locked="0"/>
    </xf>
    <xf numFmtId="0" fontId="168" fillId="10" borderId="22" xfId="0" applyFont="1" applyFill="1" applyBorder="1" applyAlignment="1" applyProtection="1">
      <alignment horizontal="center" wrapText="1"/>
      <protection locked="0"/>
    </xf>
    <xf numFmtId="0" fontId="187" fillId="12" borderId="67" xfId="0" applyFont="1" applyFill="1" applyBorder="1" applyAlignment="1">
      <alignment vertical="center"/>
    </xf>
    <xf numFmtId="0" fontId="187" fillId="12" borderId="70" xfId="0" applyFont="1" applyFill="1" applyBorder="1" applyAlignment="1">
      <alignment vertical="center"/>
    </xf>
    <xf numFmtId="0" fontId="160" fillId="10" borderId="18" xfId="0" applyFont="1" applyFill="1" applyBorder="1" applyAlignment="1">
      <alignment horizontal="left" vertical="top" wrapText="1"/>
    </xf>
    <xf numFmtId="0" fontId="0" fillId="12" borderId="26" xfId="0" applyFill="1" applyBorder="1" applyAlignment="1" applyProtection="1">
      <alignment wrapText="1"/>
      <protection locked="0"/>
    </xf>
    <xf numFmtId="0" fontId="52" fillId="0" borderId="0" xfId="0" applyFont="1" applyAlignment="1">
      <alignment wrapText="1"/>
    </xf>
    <xf numFmtId="0" fontId="187" fillId="22" borderId="73" xfId="0" applyFont="1" applyFill="1" applyBorder="1" applyAlignment="1">
      <alignment vertical="center"/>
    </xf>
    <xf numFmtId="0" fontId="179" fillId="10" borderId="19" xfId="0" applyFont="1" applyFill="1" applyBorder="1" applyAlignment="1">
      <alignment vertical="center" wrapText="1"/>
    </xf>
    <xf numFmtId="0" fontId="179" fillId="10" borderId="43" xfId="0" applyFont="1" applyFill="1" applyBorder="1" applyAlignment="1">
      <alignment vertical="center" wrapText="1"/>
    </xf>
    <xf numFmtId="0" fontId="179" fillId="10" borderId="19" xfId="0" applyFont="1" applyFill="1" applyBorder="1" applyAlignment="1">
      <alignment wrapText="1"/>
    </xf>
    <xf numFmtId="0" fontId="189" fillId="10" borderId="18" xfId="0" applyFont="1" applyFill="1" applyBorder="1" applyAlignment="1">
      <alignment wrapText="1"/>
    </xf>
    <xf numFmtId="0" fontId="168" fillId="10" borderId="23" xfId="0" applyFont="1" applyFill="1" applyBorder="1" applyAlignment="1">
      <alignment wrapText="1"/>
    </xf>
    <xf numFmtId="0" fontId="190" fillId="10" borderId="24" xfId="0" applyFont="1" applyFill="1" applyBorder="1" applyAlignment="1">
      <alignment horizontal="center" wrapText="1"/>
    </xf>
    <xf numFmtId="0" fontId="190" fillId="10" borderId="31" xfId="0" applyFont="1" applyFill="1" applyBorder="1" applyAlignment="1">
      <alignment horizontal="center" wrapText="1"/>
    </xf>
    <xf numFmtId="0" fontId="180" fillId="0" borderId="0" xfId="0" applyFont="1" applyAlignment="1" applyProtection="1">
      <alignment horizontal="center" wrapText="1"/>
      <protection locked="0"/>
    </xf>
    <xf numFmtId="0" fontId="169" fillId="10" borderId="18" xfId="0" applyFont="1" applyFill="1" applyBorder="1" applyAlignment="1">
      <alignment vertical="center" wrapText="1"/>
    </xf>
    <xf numFmtId="0" fontId="168" fillId="10" borderId="23" xfId="0" applyFont="1" applyFill="1" applyBorder="1" applyAlignment="1">
      <alignment vertical="center" wrapText="1"/>
    </xf>
    <xf numFmtId="0" fontId="170" fillId="0" borderId="24" xfId="0" applyFont="1" applyBorder="1" applyAlignment="1">
      <alignment vertical="center" wrapText="1"/>
    </xf>
    <xf numFmtId="0" fontId="168" fillId="10" borderId="19" xfId="0" applyFont="1" applyFill="1" applyBorder="1" applyAlignment="1">
      <alignment vertical="center" wrapText="1"/>
    </xf>
    <xf numFmtId="0" fontId="170" fillId="10" borderId="18" xfId="0" applyFont="1" applyFill="1" applyBorder="1" applyAlignment="1">
      <alignment vertical="center" wrapText="1"/>
    </xf>
    <xf numFmtId="0" fontId="170" fillId="10" borderId="23" xfId="0" applyFont="1" applyFill="1" applyBorder="1" applyAlignment="1">
      <alignment vertical="center" wrapText="1"/>
    </xf>
    <xf numFmtId="0" fontId="54" fillId="12" borderId="36" xfId="0" applyFont="1" applyFill="1" applyBorder="1" applyAlignment="1" applyProtection="1">
      <alignment vertical="center" wrapText="1"/>
      <protection locked="0"/>
    </xf>
    <xf numFmtId="0" fontId="168" fillId="12" borderId="31" xfId="0" applyFont="1" applyFill="1" applyBorder="1" applyAlignment="1" applyProtection="1">
      <alignment vertical="center" wrapText="1"/>
      <protection locked="0"/>
    </xf>
    <xf numFmtId="0" fontId="54" fillId="12" borderId="31" xfId="0" applyFont="1" applyFill="1" applyBorder="1" applyAlignment="1" applyProtection="1">
      <alignment vertical="center" wrapText="1"/>
      <protection locked="0"/>
    </xf>
    <xf numFmtId="0" fontId="54" fillId="12" borderId="37" xfId="0" applyFont="1" applyFill="1" applyBorder="1" applyAlignment="1" applyProtection="1">
      <alignment vertical="center" wrapText="1"/>
      <protection locked="0"/>
    </xf>
    <xf numFmtId="0" fontId="161" fillId="10" borderId="19" xfId="0" applyFont="1" applyFill="1" applyBorder="1" applyAlignment="1">
      <alignment horizontal="left" vertical="top" wrapText="1"/>
    </xf>
    <xf numFmtId="0" fontId="161" fillId="10" borderId="36" xfId="0" applyFont="1" applyFill="1" applyBorder="1" applyAlignment="1">
      <alignment vertical="top" wrapText="1"/>
    </xf>
    <xf numFmtId="49" fontId="161" fillId="10" borderId="92" xfId="0" applyNumberFormat="1" applyFont="1" applyFill="1" applyBorder="1" applyAlignment="1">
      <alignment horizontal="left" vertical="top" wrapText="1"/>
    </xf>
    <xf numFmtId="0" fontId="194" fillId="0" borderId="19" xfId="0" applyFont="1" applyBorder="1" applyAlignment="1">
      <alignment vertical="center" wrapText="1"/>
    </xf>
    <xf numFmtId="0" fontId="194" fillId="0" borderId="18" xfId="0" applyFont="1" applyBorder="1" applyAlignment="1">
      <alignment vertical="center" wrapText="1"/>
    </xf>
    <xf numFmtId="0" fontId="194" fillId="10" borderId="45" xfId="0" applyFont="1" applyFill="1" applyBorder="1" applyAlignment="1">
      <alignment vertical="center" wrapText="1"/>
    </xf>
    <xf numFmtId="0" fontId="195" fillId="10" borderId="19" xfId="0" applyFont="1" applyFill="1" applyBorder="1" applyAlignment="1">
      <alignment vertical="center" wrapText="1"/>
    </xf>
    <xf numFmtId="0" fontId="194" fillId="10" borderId="18" xfId="0" applyFont="1" applyFill="1" applyBorder="1" applyAlignment="1">
      <alignment vertical="center" wrapText="1"/>
    </xf>
    <xf numFmtId="0" fontId="194" fillId="10" borderId="23" xfId="0" applyFont="1" applyFill="1" applyBorder="1" applyAlignment="1">
      <alignment vertical="center" wrapText="1"/>
    </xf>
    <xf numFmtId="0" fontId="196" fillId="10" borderId="26" xfId="0" applyFont="1" applyFill="1" applyBorder="1" applyAlignment="1" applyProtection="1">
      <alignment horizontal="center" vertical="center" wrapText="1"/>
      <protection locked="0"/>
    </xf>
    <xf numFmtId="0" fontId="198" fillId="10" borderId="26" xfId="0" applyFont="1" applyFill="1" applyBorder="1" applyAlignment="1" applyProtection="1">
      <alignment horizontal="center" wrapText="1"/>
      <protection locked="0"/>
    </xf>
    <xf numFmtId="0" fontId="194" fillId="10" borderId="19" xfId="0" applyFont="1" applyFill="1" applyBorder="1" applyAlignment="1">
      <alignment wrapText="1"/>
    </xf>
    <xf numFmtId="0" fontId="195" fillId="12" borderId="24" xfId="0" applyFont="1" applyFill="1" applyBorder="1" applyAlignment="1" applyProtection="1">
      <alignment wrapText="1"/>
      <protection locked="0"/>
    </xf>
    <xf numFmtId="0" fontId="195" fillId="12" borderId="31" xfId="0" applyFont="1" applyFill="1" applyBorder="1" applyAlignment="1" applyProtection="1">
      <alignment wrapText="1"/>
      <protection locked="0"/>
    </xf>
    <xf numFmtId="0" fontId="195" fillId="0" borderId="24" xfId="0" applyFont="1" applyBorder="1" applyAlignment="1" applyProtection="1">
      <alignment wrapText="1"/>
      <protection locked="0"/>
    </xf>
    <xf numFmtId="0" fontId="195" fillId="0" borderId="31" xfId="0" applyFont="1" applyBorder="1" applyAlignment="1" applyProtection="1">
      <alignment wrapText="1"/>
      <protection locked="0"/>
    </xf>
    <xf numFmtId="0" fontId="193" fillId="10" borderId="19" xfId="0" applyFont="1" applyFill="1" applyBorder="1" applyAlignment="1">
      <alignment wrapText="1"/>
    </xf>
    <xf numFmtId="0" fontId="193" fillId="10" borderId="43" xfId="0" applyFont="1" applyFill="1" applyBorder="1" applyAlignment="1">
      <alignment wrapText="1"/>
    </xf>
    <xf numFmtId="0" fontId="195" fillId="10" borderId="74" xfId="0" applyFont="1" applyFill="1" applyBorder="1" applyAlignment="1">
      <alignment wrapText="1"/>
    </xf>
    <xf numFmtId="0" fontId="195" fillId="10" borderId="18" xfId="0" applyFont="1" applyFill="1" applyBorder="1" applyAlignment="1">
      <alignment wrapText="1"/>
    </xf>
    <xf numFmtId="49" fontId="195" fillId="10" borderId="18" xfId="0" applyNumberFormat="1" applyFont="1" applyFill="1" applyBorder="1" applyAlignment="1" applyProtection="1">
      <alignment wrapText="1"/>
      <protection locked="0"/>
    </xf>
    <xf numFmtId="0" fontId="197" fillId="12" borderId="24" xfId="0" applyFont="1" applyFill="1" applyBorder="1" applyAlignment="1" applyProtection="1">
      <alignment wrapText="1"/>
      <protection locked="0"/>
    </xf>
    <xf numFmtId="0" fontId="195" fillId="10" borderId="24" xfId="0" applyFont="1" applyFill="1" applyBorder="1" applyAlignment="1" applyProtection="1">
      <alignment horizontal="center" wrapText="1"/>
      <protection locked="0"/>
    </xf>
    <xf numFmtId="49" fontId="194" fillId="10" borderId="43" xfId="0" applyNumberFormat="1" applyFont="1" applyFill="1" applyBorder="1" applyAlignment="1">
      <alignment horizontal="right" wrapText="1"/>
    </xf>
    <xf numFmtId="0" fontId="195" fillId="12" borderId="57" xfId="0" applyFont="1" applyFill="1" applyBorder="1" applyAlignment="1" applyProtection="1">
      <alignment horizontal="right" wrapText="1"/>
      <protection locked="0"/>
    </xf>
    <xf numFmtId="0" fontId="205" fillId="16" borderId="19" xfId="2" applyFont="1" applyFill="1" applyBorder="1"/>
    <xf numFmtId="0" fontId="206" fillId="16" borderId="22" xfId="2" applyFont="1" applyFill="1" applyBorder="1" applyAlignment="1" applyProtection="1">
      <alignment horizontal="right"/>
      <protection locked="0"/>
    </xf>
    <xf numFmtId="0" fontId="207" fillId="0" borderId="0" xfId="2" applyFont="1"/>
    <xf numFmtId="0" fontId="208" fillId="0" borderId="0" xfId="2" applyFont="1"/>
    <xf numFmtId="0" fontId="209" fillId="0" borderId="18" xfId="2" applyFont="1" applyBorder="1" applyAlignment="1">
      <alignment wrapText="1"/>
    </xf>
    <xf numFmtId="0" fontId="208" fillId="0" borderId="20" xfId="2" applyFont="1" applyBorder="1" applyProtection="1">
      <protection locked="0"/>
    </xf>
    <xf numFmtId="166" fontId="208" fillId="0" borderId="20" xfId="5" applyNumberFormat="1" applyFont="1" applyFill="1" applyBorder="1" applyAlignment="1" applyProtection="1">
      <protection locked="0"/>
    </xf>
    <xf numFmtId="0" fontId="209" fillId="16" borderId="18" xfId="2" applyFont="1" applyFill="1" applyBorder="1" applyAlignment="1">
      <alignment wrapText="1"/>
    </xf>
    <xf numFmtId="168" fontId="208" fillId="16" borderId="20" xfId="2" applyNumberFormat="1" applyFont="1" applyFill="1" applyBorder="1" applyAlignment="1" applyProtection="1">
      <alignment horizontal="right"/>
      <protection locked="0"/>
    </xf>
    <xf numFmtId="169" fontId="208" fillId="0" borderId="20" xfId="2" applyNumberFormat="1" applyFont="1" applyBorder="1" applyProtection="1">
      <protection locked="0"/>
    </xf>
    <xf numFmtId="9" fontId="208" fillId="0" borderId="20" xfId="2" applyNumberFormat="1" applyFont="1" applyBorder="1" applyProtection="1">
      <protection locked="0"/>
    </xf>
    <xf numFmtId="168" fontId="208" fillId="0" borderId="20" xfId="2" applyNumberFormat="1" applyFont="1" applyBorder="1" applyProtection="1">
      <protection locked="0"/>
    </xf>
    <xf numFmtId="3" fontId="207" fillId="0" borderId="0" xfId="2" applyNumberFormat="1" applyFont="1" applyAlignment="1">
      <alignment horizontal="center"/>
    </xf>
    <xf numFmtId="0" fontId="208" fillId="16" borderId="21" xfId="2" applyFont="1" applyFill="1" applyBorder="1" applyProtection="1">
      <protection locked="0"/>
    </xf>
    <xf numFmtId="0" fontId="209" fillId="16" borderId="23" xfId="2" applyFont="1" applyFill="1" applyBorder="1" applyAlignment="1">
      <alignment wrapText="1"/>
    </xf>
    <xf numFmtId="0" fontId="208" fillId="0" borderId="0" xfId="2" applyFont="1" applyAlignment="1">
      <alignment wrapText="1"/>
    </xf>
    <xf numFmtId="0" fontId="209" fillId="0" borderId="0" xfId="0" applyFont="1"/>
    <xf numFmtId="0" fontId="209" fillId="0" borderId="23" xfId="2" applyFont="1" applyBorder="1" applyAlignment="1">
      <alignment wrapText="1"/>
    </xf>
    <xf numFmtId="179" fontId="182" fillId="26" borderId="20" xfId="2" applyNumberFormat="1" applyFont="1" applyFill="1" applyBorder="1" applyProtection="1">
      <protection locked="0"/>
    </xf>
    <xf numFmtId="0" fontId="182" fillId="25" borderId="18" xfId="2" applyFont="1" applyFill="1" applyBorder="1" applyAlignment="1">
      <alignment wrapText="1"/>
    </xf>
    <xf numFmtId="0" fontId="165" fillId="22" borderId="19" xfId="2" applyFont="1" applyFill="1" applyBorder="1" applyAlignment="1">
      <alignment wrapText="1"/>
    </xf>
    <xf numFmtId="0" fontId="165" fillId="22" borderId="22" xfId="2" applyFont="1" applyFill="1" applyBorder="1" applyAlignment="1" applyProtection="1">
      <alignment horizontal="right"/>
      <protection locked="0"/>
    </xf>
    <xf numFmtId="0" fontId="211" fillId="0" borderId="5" xfId="2" applyFont="1" applyBorder="1"/>
    <xf numFmtId="0" fontId="212" fillId="0" borderId="0" xfId="2" applyFont="1"/>
    <xf numFmtId="0" fontId="212" fillId="0" borderId="19" xfId="2" applyFont="1" applyBorder="1" applyAlignment="1">
      <alignment wrapText="1"/>
    </xf>
    <xf numFmtId="0" fontId="212" fillId="0" borderId="20" xfId="2" applyFont="1" applyBorder="1" applyProtection="1">
      <protection locked="0"/>
    </xf>
    <xf numFmtId="165" fontId="212" fillId="0" borderId="20" xfId="2" applyNumberFormat="1" applyFont="1" applyBorder="1" applyProtection="1">
      <protection locked="0"/>
    </xf>
    <xf numFmtId="0" fontId="212" fillId="22" borderId="19" xfId="2" applyFont="1" applyFill="1" applyBorder="1" applyAlignment="1">
      <alignment wrapText="1"/>
    </xf>
    <xf numFmtId="168" fontId="212" fillId="22" borderId="20" xfId="2" applyNumberFormat="1" applyFont="1" applyFill="1" applyBorder="1" applyAlignment="1" applyProtection="1">
      <alignment horizontal="right"/>
      <protection locked="0"/>
    </xf>
    <xf numFmtId="169" fontId="212" fillId="0" borderId="20" xfId="2" applyNumberFormat="1" applyFont="1" applyBorder="1" applyProtection="1">
      <protection locked="0"/>
    </xf>
    <xf numFmtId="10" fontId="212" fillId="0" borderId="20" xfId="2" applyNumberFormat="1" applyFont="1" applyBorder="1" applyProtection="1">
      <protection locked="0"/>
    </xf>
    <xf numFmtId="9" fontId="212" fillId="0" borderId="20" xfId="2" applyNumberFormat="1" applyFont="1" applyBorder="1" applyProtection="1">
      <protection locked="0"/>
    </xf>
    <xf numFmtId="172" fontId="212" fillId="0" borderId="20" xfId="2" applyNumberFormat="1" applyFont="1" applyBorder="1" applyProtection="1">
      <protection locked="0"/>
    </xf>
    <xf numFmtId="3" fontId="211" fillId="0" borderId="5" xfId="2" applyNumberFormat="1" applyFont="1" applyBorder="1" applyAlignment="1">
      <alignment horizontal="center"/>
    </xf>
    <xf numFmtId="168" fontId="212" fillId="0" borderId="20" xfId="2" applyNumberFormat="1" applyFont="1" applyBorder="1" applyProtection="1">
      <protection locked="0"/>
    </xf>
    <xf numFmtId="0" fontId="212" fillId="22" borderId="21" xfId="2" applyFont="1" applyFill="1" applyBorder="1" applyProtection="1">
      <protection locked="0"/>
    </xf>
    <xf numFmtId="0" fontId="165" fillId="0" borderId="0" xfId="2" applyFont="1"/>
    <xf numFmtId="0" fontId="163" fillId="0" borderId="0" xfId="0" applyFont="1"/>
    <xf numFmtId="0" fontId="163" fillId="0" borderId="18" xfId="2" applyFont="1" applyBorder="1" applyAlignment="1">
      <alignment wrapText="1"/>
    </xf>
    <xf numFmtId="168" fontId="213" fillId="22" borderId="20" xfId="2" applyNumberFormat="1" applyFont="1" applyFill="1" applyBorder="1" applyProtection="1">
      <protection locked="0"/>
    </xf>
    <xf numFmtId="0" fontId="211" fillId="0" borderId="0" xfId="2" applyFont="1"/>
    <xf numFmtId="170" fontId="163" fillId="22" borderId="20" xfId="2" applyNumberFormat="1" applyFont="1" applyFill="1" applyBorder="1" applyProtection="1">
      <protection locked="0"/>
    </xf>
    <xf numFmtId="165" fontId="163" fillId="23" borderId="20" xfId="2" applyNumberFormat="1" applyFont="1" applyFill="1" applyBorder="1" applyProtection="1">
      <protection locked="0"/>
    </xf>
    <xf numFmtId="165" fontId="163" fillId="23" borderId="21" xfId="2" applyNumberFormat="1" applyFont="1" applyFill="1" applyBorder="1" applyProtection="1">
      <protection locked="0"/>
    </xf>
    <xf numFmtId="0" fontId="182" fillId="21" borderId="18" xfId="2" applyFont="1" applyFill="1" applyBorder="1" applyAlignment="1">
      <alignment wrapText="1"/>
    </xf>
    <xf numFmtId="165" fontId="182" fillId="27" borderId="20" xfId="2" applyNumberFormat="1" applyFont="1" applyFill="1" applyBorder="1" applyProtection="1">
      <protection locked="0"/>
    </xf>
    <xf numFmtId="0" fontId="209" fillId="0" borderId="18" xfId="0" applyFont="1" applyBorder="1"/>
    <xf numFmtId="0" fontId="209" fillId="0" borderId="20" xfId="0" applyFont="1" applyBorder="1"/>
    <xf numFmtId="0" fontId="209" fillId="12" borderId="20" xfId="0" applyFont="1" applyFill="1" applyBorder="1" applyProtection="1">
      <protection locked="0"/>
    </xf>
    <xf numFmtId="0" fontId="163" fillId="0" borderId="18" xfId="0" applyFont="1" applyBorder="1"/>
    <xf numFmtId="0" fontId="163" fillId="0" borderId="20" xfId="0" applyFont="1" applyBorder="1"/>
    <xf numFmtId="0" fontId="163" fillId="22" borderId="20" xfId="0" applyFont="1" applyFill="1" applyBorder="1" applyProtection="1">
      <protection locked="0"/>
    </xf>
    <xf numFmtId="0" fontId="163" fillId="0" borderId="23" xfId="0" applyFont="1" applyBorder="1"/>
    <xf numFmtId="0" fontId="163" fillId="22" borderId="21" xfId="0" applyFont="1" applyFill="1" applyBorder="1" applyProtection="1">
      <protection locked="0"/>
    </xf>
    <xf numFmtId="0" fontId="98" fillId="0" borderId="58" xfId="2" applyFont="1" applyBorder="1"/>
    <xf numFmtId="0" fontId="98" fillId="0" borderId="60" xfId="2" applyFont="1" applyBorder="1"/>
    <xf numFmtId="0" fontId="209" fillId="0" borderId="23" xfId="0" applyFont="1" applyBorder="1"/>
    <xf numFmtId="0" fontId="209" fillId="12" borderId="21" xfId="0" applyFont="1" applyFill="1" applyBorder="1" applyProtection="1">
      <protection locked="0"/>
    </xf>
    <xf numFmtId="0" fontId="204" fillId="12" borderId="0" xfId="2" applyFont="1" applyFill="1" applyAlignment="1">
      <alignment horizontal="left" wrapText="1"/>
    </xf>
    <xf numFmtId="0" fontId="204" fillId="17" borderId="0" xfId="2" applyFont="1" applyFill="1" applyAlignment="1">
      <alignment horizontal="left" wrapText="1"/>
    </xf>
    <xf numFmtId="0" fontId="93" fillId="17" borderId="0" xfId="2" applyFont="1" applyFill="1"/>
    <xf numFmtId="0" fontId="99" fillId="12" borderId="20" xfId="0" applyFont="1" applyFill="1" applyBorder="1" applyProtection="1">
      <protection locked="0"/>
    </xf>
    <xf numFmtId="0" fontId="99" fillId="12" borderId="21" xfId="0" applyFont="1" applyFill="1" applyBorder="1" applyProtection="1">
      <protection locked="0"/>
    </xf>
    <xf numFmtId="0" fontId="204" fillId="22" borderId="0" xfId="2" applyFont="1" applyFill="1" applyAlignment="1">
      <alignment horizontal="left" wrapText="1"/>
    </xf>
    <xf numFmtId="0" fontId="214" fillId="22" borderId="0" xfId="2" applyFont="1" applyFill="1" applyAlignment="1">
      <alignment horizontal="left" wrapText="1"/>
    </xf>
    <xf numFmtId="168" fontId="210" fillId="12" borderId="20" xfId="2" applyNumberFormat="1" applyFont="1" applyFill="1" applyBorder="1" applyProtection="1">
      <protection locked="0"/>
    </xf>
    <xf numFmtId="170" fontId="209" fillId="12" borderId="20" xfId="2" applyNumberFormat="1" applyFont="1" applyFill="1" applyBorder="1" applyProtection="1">
      <protection locked="0"/>
    </xf>
    <xf numFmtId="179" fontId="209" fillId="14" borderId="20" xfId="2" applyNumberFormat="1" applyFont="1" applyFill="1" applyBorder="1" applyProtection="1">
      <protection locked="0"/>
    </xf>
    <xf numFmtId="179" fontId="209" fillId="14" borderId="20" xfId="2" applyNumberFormat="1" applyFont="1" applyFill="1" applyBorder="1" applyProtection="1">
      <protection locked="0" hidden="1"/>
    </xf>
    <xf numFmtId="179" fontId="209" fillId="14" borderId="21" xfId="2" applyNumberFormat="1" applyFont="1" applyFill="1" applyBorder="1" applyProtection="1">
      <protection locked="0" hidden="1"/>
    </xf>
    <xf numFmtId="14" fontId="1" fillId="0" borderId="0" xfId="2" applyNumberFormat="1" applyAlignment="1">
      <alignment horizontal="center"/>
    </xf>
    <xf numFmtId="0" fontId="215" fillId="0" borderId="1" xfId="0" applyFont="1" applyBorder="1" applyAlignment="1">
      <alignment vertical="center"/>
    </xf>
    <xf numFmtId="0" fontId="215" fillId="0" borderId="1" xfId="0" applyFont="1" applyBorder="1" applyAlignment="1">
      <alignment horizontal="center" wrapText="1"/>
    </xf>
    <xf numFmtId="0" fontId="215" fillId="0" borderId="0" xfId="0" applyFont="1"/>
    <xf numFmtId="0" fontId="0" fillId="0" borderId="1" xfId="0" applyBorder="1" applyAlignment="1">
      <alignment vertical="center"/>
    </xf>
    <xf numFmtId="3" fontId="0" fillId="0" borderId="0" xfId="0" applyNumberFormat="1"/>
    <xf numFmtId="0" fontId="0" fillId="0" borderId="24" xfId="0" applyBorder="1"/>
    <xf numFmtId="0" fontId="0" fillId="0" borderId="0" xfId="0" applyAlignment="1">
      <alignment vertical="center"/>
    </xf>
    <xf numFmtId="3" fontId="0" fillId="0" borderId="1" xfId="0" applyNumberFormat="1" applyBorder="1" applyAlignment="1">
      <alignment vertical="center"/>
    </xf>
    <xf numFmtId="0" fontId="215" fillId="0" borderId="48" xfId="0" applyFont="1" applyBorder="1" applyAlignment="1">
      <alignment vertical="center"/>
    </xf>
    <xf numFmtId="0" fontId="215" fillId="0" borderId="48" xfId="0" applyFont="1" applyBorder="1" applyAlignment="1">
      <alignment horizontal="center" wrapText="1"/>
    </xf>
    <xf numFmtId="0" fontId="0" fillId="0" borderId="24" xfId="0" applyBorder="1" applyProtection="1">
      <protection locked="0"/>
    </xf>
    <xf numFmtId="3" fontId="0" fillId="0" borderId="24" xfId="0" applyNumberFormat="1" applyBorder="1"/>
    <xf numFmtId="0" fontId="58" fillId="0" borderId="24" xfId="0" applyFont="1" applyBorder="1" applyProtection="1">
      <protection locked="0"/>
    </xf>
    <xf numFmtId="0" fontId="58" fillId="0" borderId="26" xfId="0" applyFont="1" applyBorder="1" applyAlignment="1" applyProtection="1">
      <alignment horizontal="left"/>
      <protection locked="0"/>
    </xf>
    <xf numFmtId="0" fontId="0" fillId="0" borderId="27" xfId="0" applyBorder="1" applyProtection="1">
      <protection locked="0"/>
    </xf>
    <xf numFmtId="0" fontId="0" fillId="0" borderId="26" xfId="0" applyBorder="1" applyProtection="1">
      <protection locked="0"/>
    </xf>
    <xf numFmtId="0" fontId="58" fillId="0" borderId="27" xfId="0" applyFont="1" applyBorder="1" applyProtection="1">
      <protection locked="0"/>
    </xf>
    <xf numFmtId="0" fontId="215" fillId="0" borderId="80" xfId="0" applyFont="1" applyBorder="1" applyAlignment="1">
      <alignment horizontal="center" wrapText="1"/>
    </xf>
    <xf numFmtId="0" fontId="215" fillId="0" borderId="80" xfId="0" applyFont="1" applyBorder="1" applyAlignment="1">
      <alignment horizontal="center"/>
    </xf>
    <xf numFmtId="0" fontId="215" fillId="0" borderId="80" xfId="0" applyFont="1" applyBorder="1"/>
    <xf numFmtId="0" fontId="216" fillId="0" borderId="80" xfId="0" applyFont="1" applyBorder="1" applyAlignment="1">
      <alignment horizontal="center" wrapText="1"/>
    </xf>
    <xf numFmtId="0" fontId="217" fillId="0" borderId="80" xfId="0" applyFont="1" applyBorder="1" applyAlignment="1">
      <alignment horizontal="center" wrapText="1"/>
    </xf>
    <xf numFmtId="0" fontId="217" fillId="0" borderId="121" xfId="0" applyFont="1" applyBorder="1" applyAlignment="1">
      <alignment horizontal="center" wrapText="1"/>
    </xf>
    <xf numFmtId="0" fontId="215" fillId="0" borderId="49" xfId="0" applyFont="1" applyBorder="1" applyAlignment="1">
      <alignment vertical="center"/>
    </xf>
    <xf numFmtId="0" fontId="215" fillId="0" borderId="66" xfId="0" applyFont="1" applyBorder="1" applyAlignment="1">
      <alignment horizontal="center" wrapText="1"/>
    </xf>
    <xf numFmtId="0" fontId="216" fillId="0" borderId="0" xfId="0" applyFont="1" applyAlignment="1">
      <alignment horizontal="center" wrapText="1"/>
    </xf>
    <xf numFmtId="0" fontId="217" fillId="0" borderId="0" xfId="0" applyFont="1" applyAlignment="1">
      <alignment horizontal="center" wrapText="1"/>
    </xf>
    <xf numFmtId="0" fontId="0" fillId="0" borderId="19" xfId="0" applyBorder="1" applyAlignment="1" applyProtection="1">
      <alignment vertical="center"/>
      <protection locked="0"/>
    </xf>
    <xf numFmtId="0" fontId="0" fillId="0" borderId="19" xfId="0" applyBorder="1" applyAlignment="1" applyProtection="1">
      <alignment vertical="center" wrapText="1"/>
      <protection locked="0"/>
    </xf>
    <xf numFmtId="0" fontId="6" fillId="0" borderId="33" xfId="0" applyFont="1" applyBorder="1"/>
    <xf numFmtId="0" fontId="6" fillId="0" borderId="23" xfId="0" applyFont="1" applyBorder="1"/>
    <xf numFmtId="0" fontId="195" fillId="0" borderId="0" xfId="0" applyFont="1"/>
    <xf numFmtId="0" fontId="202" fillId="10" borderId="24" xfId="0" applyFont="1" applyFill="1" applyBorder="1" applyAlignment="1">
      <alignment horizontal="center"/>
    </xf>
    <xf numFmtId="0" fontId="202" fillId="10" borderId="24" xfId="0" applyFont="1" applyFill="1" applyBorder="1" applyAlignment="1">
      <alignment horizontal="center" wrapText="1"/>
    </xf>
    <xf numFmtId="0" fontId="207" fillId="10" borderId="120" xfId="0" applyFont="1" applyFill="1" applyBorder="1" applyAlignment="1">
      <alignment horizontal="center" vertical="center"/>
    </xf>
    <xf numFmtId="0" fontId="207" fillId="10" borderId="80" xfId="0" applyFont="1" applyFill="1" applyBorder="1" applyAlignment="1">
      <alignment horizontal="center" vertical="center" wrapText="1"/>
    </xf>
    <xf numFmtId="0" fontId="207" fillId="10" borderId="80" xfId="0" applyFont="1" applyFill="1" applyBorder="1" applyAlignment="1">
      <alignment horizontal="center" vertical="center"/>
    </xf>
    <xf numFmtId="3" fontId="202" fillId="0" borderId="30" xfId="0" applyNumberFormat="1" applyFont="1" applyBorder="1"/>
    <xf numFmtId="3" fontId="202" fillId="0" borderId="91" xfId="0" applyNumberFormat="1" applyFont="1" applyBorder="1"/>
    <xf numFmtId="0" fontId="195" fillId="10" borderId="26" xfId="0" applyFont="1" applyFill="1" applyBorder="1" applyProtection="1">
      <protection locked="0"/>
    </xf>
    <xf numFmtId="3" fontId="170" fillId="28" borderId="26" xfId="0" applyNumberFormat="1" applyFont="1" applyFill="1" applyBorder="1" applyProtection="1">
      <protection locked="0"/>
    </xf>
    <xf numFmtId="3" fontId="168" fillId="28" borderId="26" xfId="0" applyNumberFormat="1" applyFont="1" applyFill="1" applyBorder="1" applyProtection="1">
      <protection locked="0"/>
    </xf>
    <xf numFmtId="184" fontId="168" fillId="28" borderId="26" xfId="0" applyNumberFormat="1" applyFont="1" applyFill="1" applyBorder="1" applyAlignment="1" applyProtection="1">
      <alignment vertical="center"/>
      <protection locked="0"/>
    </xf>
    <xf numFmtId="3" fontId="170" fillId="0" borderId="24" xfId="0" applyNumberFormat="1" applyFont="1" applyBorder="1"/>
    <xf numFmtId="3" fontId="168" fillId="28" borderId="24" xfId="0" applyNumberFormat="1" applyFont="1" applyFill="1" applyBorder="1" applyProtection="1">
      <protection locked="0"/>
    </xf>
    <xf numFmtId="184" fontId="168" fillId="28" borderId="24" xfId="0" applyNumberFormat="1" applyFont="1" applyFill="1" applyBorder="1" applyAlignment="1" applyProtection="1">
      <alignment vertical="center"/>
      <protection locked="0"/>
    </xf>
    <xf numFmtId="3" fontId="170" fillId="28" borderId="24" xfId="0" applyNumberFormat="1" applyFont="1" applyFill="1" applyBorder="1" applyProtection="1">
      <protection locked="0"/>
    </xf>
    <xf numFmtId="3" fontId="170" fillId="28" borderId="27" xfId="0" applyNumberFormat="1" applyFont="1" applyFill="1" applyBorder="1" applyProtection="1">
      <protection locked="0"/>
    </xf>
    <xf numFmtId="3" fontId="168" fillId="28" borderId="27" xfId="0" applyNumberFormat="1" applyFont="1" applyFill="1" applyBorder="1" applyProtection="1">
      <protection locked="0"/>
    </xf>
    <xf numFmtId="184" fontId="168" fillId="28" borderId="27" xfId="0" applyNumberFormat="1" applyFont="1" applyFill="1" applyBorder="1" applyAlignment="1" applyProtection="1">
      <alignment vertical="center"/>
      <protection locked="0"/>
    </xf>
    <xf numFmtId="3" fontId="170" fillId="0" borderId="26" xfId="0" applyNumberFormat="1" applyFont="1" applyBorder="1"/>
    <xf numFmtId="3" fontId="170" fillId="0" borderId="27" xfId="0" applyNumberFormat="1" applyFont="1" applyBorder="1"/>
    <xf numFmtId="3" fontId="168" fillId="28" borderId="26" xfId="0" applyNumberFormat="1" applyFont="1" applyFill="1" applyBorder="1" applyAlignment="1" applyProtection="1">
      <alignment vertical="center"/>
      <protection locked="0"/>
    </xf>
    <xf numFmtId="3" fontId="168" fillId="28" borderId="24" xfId="0" applyNumberFormat="1" applyFont="1" applyFill="1" applyBorder="1" applyAlignment="1" applyProtection="1">
      <alignment vertical="center"/>
      <protection locked="0"/>
    </xf>
    <xf numFmtId="3" fontId="168" fillId="28" borderId="27" xfId="0" applyNumberFormat="1" applyFont="1" applyFill="1" applyBorder="1" applyAlignment="1" applyProtection="1">
      <alignment vertical="center"/>
      <protection locked="0"/>
    </xf>
    <xf numFmtId="0" fontId="218" fillId="10" borderId="80" xfId="0" applyFont="1" applyFill="1" applyBorder="1" applyAlignment="1">
      <alignment horizontal="center" vertical="center" wrapText="1"/>
    </xf>
    <xf numFmtId="3" fontId="58" fillId="28" borderId="26" xfId="0" applyNumberFormat="1" applyFont="1" applyFill="1" applyBorder="1" applyProtection="1">
      <protection locked="0"/>
    </xf>
    <xf numFmtId="3" fontId="58" fillId="0" borderId="24" xfId="0" applyNumberFormat="1" applyFont="1" applyBorder="1"/>
    <xf numFmtId="3" fontId="58" fillId="28" borderId="24" xfId="0" applyNumberFormat="1" applyFont="1" applyFill="1" applyBorder="1" applyProtection="1">
      <protection locked="0"/>
    </xf>
    <xf numFmtId="3" fontId="58" fillId="28" borderId="27" xfId="0" applyNumberFormat="1" applyFont="1" applyFill="1" applyBorder="1" applyProtection="1">
      <protection locked="0"/>
    </xf>
    <xf numFmtId="3" fontId="58" fillId="0" borderId="26" xfId="0" applyNumberFormat="1" applyFont="1" applyBorder="1"/>
    <xf numFmtId="3" fontId="58" fillId="0" borderId="27" xfId="0" applyNumberFormat="1" applyFont="1" applyBorder="1"/>
    <xf numFmtId="3" fontId="219" fillId="0" borderId="30" xfId="0" applyNumberFormat="1" applyFont="1" applyBorder="1"/>
    <xf numFmtId="3" fontId="58" fillId="28" borderId="26" xfId="0" applyNumberFormat="1" applyFont="1" applyFill="1" applyBorder="1" applyAlignment="1" applyProtection="1">
      <alignment vertical="center"/>
      <protection locked="0"/>
    </xf>
    <xf numFmtId="3" fontId="58" fillId="28" borderId="27" xfId="0" applyNumberFormat="1" applyFont="1" applyFill="1" applyBorder="1" applyAlignment="1" applyProtection="1">
      <alignment vertical="center"/>
      <protection locked="0"/>
    </xf>
    <xf numFmtId="0" fontId="220" fillId="10" borderId="80" xfId="0" applyFont="1" applyFill="1" applyBorder="1" applyAlignment="1">
      <alignment horizontal="center" vertical="center" wrapText="1"/>
    </xf>
    <xf numFmtId="3" fontId="195" fillId="28" borderId="26" xfId="0" applyNumberFormat="1" applyFont="1" applyFill="1" applyBorder="1" applyProtection="1">
      <protection locked="0"/>
    </xf>
    <xf numFmtId="3" fontId="195" fillId="0" borderId="24" xfId="0" applyNumberFormat="1" applyFont="1" applyBorder="1"/>
    <xf numFmtId="3" fontId="195" fillId="28" borderId="24" xfId="0" applyNumberFormat="1" applyFont="1" applyFill="1" applyBorder="1" applyProtection="1">
      <protection locked="0"/>
    </xf>
    <xf numFmtId="3" fontId="195" fillId="28" borderId="27" xfId="0" applyNumberFormat="1" applyFont="1" applyFill="1" applyBorder="1" applyProtection="1">
      <protection locked="0"/>
    </xf>
    <xf numFmtId="3" fontId="195" fillId="0" borderId="26" xfId="0" applyNumberFormat="1" applyFont="1" applyBorder="1"/>
    <xf numFmtId="3" fontId="195" fillId="0" borderId="27" xfId="0" applyNumberFormat="1" applyFont="1" applyBorder="1"/>
    <xf numFmtId="0" fontId="220" fillId="10" borderId="121" xfId="0" applyFont="1" applyFill="1" applyBorder="1" applyAlignment="1">
      <alignment horizontal="center" vertical="center" wrapText="1"/>
    </xf>
    <xf numFmtId="3" fontId="195" fillId="28" borderId="22" xfId="0" applyNumberFormat="1" applyFont="1" applyFill="1" applyBorder="1" applyAlignment="1" applyProtection="1">
      <alignment vertical="center"/>
      <protection locked="0"/>
    </xf>
    <xf numFmtId="3" fontId="195" fillId="28" borderId="21" xfId="0" applyNumberFormat="1" applyFont="1" applyFill="1" applyBorder="1" applyAlignment="1" applyProtection="1">
      <alignment vertical="center"/>
      <protection locked="0"/>
    </xf>
    <xf numFmtId="0" fontId="221" fillId="0" borderId="0" xfId="0" applyFont="1"/>
    <xf numFmtId="0" fontId="222" fillId="0" borderId="0" xfId="0" applyFont="1"/>
    <xf numFmtId="0" fontId="223" fillId="21" borderId="26" xfId="0" applyFont="1" applyFill="1" applyBorder="1" applyAlignment="1" applyProtection="1">
      <alignment vertical="center" wrapText="1"/>
      <protection locked="0"/>
    </xf>
    <xf numFmtId="0" fontId="223" fillId="21" borderId="36" xfId="0" applyFont="1" applyFill="1" applyBorder="1" applyAlignment="1" applyProtection="1">
      <alignment vertical="center" wrapText="1"/>
      <protection locked="0"/>
    </xf>
    <xf numFmtId="0" fontId="170" fillId="22" borderId="24" xfId="0" applyFont="1" applyFill="1" applyBorder="1" applyProtection="1">
      <protection locked="0"/>
    </xf>
    <xf numFmtId="0" fontId="170" fillId="12" borderId="24" xfId="0" applyFont="1" applyFill="1" applyBorder="1" applyProtection="1">
      <protection locked="0"/>
    </xf>
    <xf numFmtId="3" fontId="170" fillId="0" borderId="24" xfId="0" applyNumberFormat="1" applyFont="1" applyBorder="1" applyAlignment="1" applyProtection="1">
      <alignment wrapText="1"/>
      <protection locked="0"/>
    </xf>
    <xf numFmtId="3" fontId="172" fillId="0" borderId="24" xfId="0" applyNumberFormat="1" applyFont="1" applyBorder="1" applyAlignment="1">
      <alignment wrapText="1"/>
    </xf>
    <xf numFmtId="0" fontId="58" fillId="0" borderId="0" xfId="0" applyFont="1" applyAlignment="1">
      <alignment wrapText="1"/>
    </xf>
    <xf numFmtId="0" fontId="195" fillId="0" borderId="0" xfId="0" applyFont="1" applyAlignment="1">
      <alignment horizontal="right" vertical="center" wrapText="1"/>
    </xf>
    <xf numFmtId="0" fontId="170" fillId="0" borderId="0" xfId="0" applyFont="1" applyAlignment="1" applyProtection="1">
      <alignment wrapText="1"/>
      <protection locked="0"/>
    </xf>
    <xf numFmtId="0" fontId="160" fillId="10" borderId="58" xfId="0" applyFont="1" applyFill="1" applyBorder="1" applyAlignment="1">
      <alignment vertical="center" wrapText="1"/>
    </xf>
    <xf numFmtId="0" fontId="101" fillId="0" borderId="1" xfId="2" applyFont="1" applyBorder="1"/>
    <xf numFmtId="49" fontId="195" fillId="0" borderId="24" xfId="0" applyNumberFormat="1" applyFont="1" applyBorder="1" applyAlignment="1" applyProtection="1">
      <alignment wrapText="1"/>
      <protection locked="0"/>
    </xf>
    <xf numFmtId="14" fontId="195" fillId="0" borderId="31" xfId="0" applyNumberFormat="1" applyFont="1" applyBorder="1" applyAlignment="1" applyProtection="1">
      <alignment wrapText="1"/>
      <protection locked="0"/>
    </xf>
    <xf numFmtId="9" fontId="195" fillId="0" borderId="24" xfId="0" applyNumberFormat="1" applyFont="1" applyBorder="1" applyAlignment="1" applyProtection="1">
      <alignment wrapText="1"/>
      <protection locked="0"/>
    </xf>
    <xf numFmtId="0" fontId="195" fillId="22" borderId="26" xfId="0" applyFont="1" applyFill="1" applyBorder="1" applyAlignment="1" applyProtection="1">
      <alignment wrapText="1"/>
      <protection locked="0"/>
    </xf>
    <xf numFmtId="0" fontId="195" fillId="22" borderId="24" xfId="0" applyFont="1" applyFill="1" applyBorder="1" applyAlignment="1" applyProtection="1">
      <alignment wrapText="1"/>
      <protection locked="0"/>
    </xf>
    <xf numFmtId="9" fontId="195" fillId="22" borderId="24" xfId="0" applyNumberFormat="1" applyFont="1" applyFill="1" applyBorder="1" applyAlignment="1" applyProtection="1">
      <alignment wrapText="1"/>
      <protection locked="0"/>
    </xf>
    <xf numFmtId="0" fontId="195" fillId="12" borderId="27" xfId="0" applyFont="1" applyFill="1" applyBorder="1" applyAlignment="1" applyProtection="1">
      <alignment wrapText="1"/>
      <protection locked="0"/>
    </xf>
    <xf numFmtId="0" fontId="209" fillId="22" borderId="24" xfId="0" applyFont="1" applyFill="1" applyBorder="1" applyAlignment="1" applyProtection="1">
      <alignment horizontal="left" vertical="center" wrapText="1"/>
      <protection locked="0"/>
    </xf>
    <xf numFmtId="0" fontId="209" fillId="22" borderId="20" xfId="0" applyFont="1" applyFill="1" applyBorder="1" applyAlignment="1" applyProtection="1">
      <alignment horizontal="left" vertical="center" wrapText="1"/>
      <protection locked="0"/>
    </xf>
    <xf numFmtId="0" fontId="228" fillId="0" borderId="26" xfId="0" applyFont="1" applyBorder="1" applyAlignment="1" applyProtection="1">
      <alignment horizontal="left" wrapText="1"/>
      <protection locked="0"/>
    </xf>
    <xf numFmtId="0" fontId="228" fillId="0" borderId="22" xfId="0" applyFont="1" applyBorder="1" applyAlignment="1" applyProtection="1">
      <alignment horizontal="left" wrapText="1"/>
      <protection locked="0"/>
    </xf>
    <xf numFmtId="0" fontId="228" fillId="22" borderId="24" xfId="0" applyFont="1" applyFill="1" applyBorder="1" applyAlignment="1" applyProtection="1">
      <alignment horizontal="left" wrapText="1"/>
      <protection locked="0"/>
    </xf>
    <xf numFmtId="0" fontId="228" fillId="22" borderId="20" xfId="0" applyFont="1" applyFill="1" applyBorder="1" applyAlignment="1" applyProtection="1">
      <alignment horizontal="left" wrapText="1"/>
      <protection locked="0"/>
    </xf>
    <xf numFmtId="0" fontId="195" fillId="0" borderId="20" xfId="0" applyFont="1" applyBorder="1" applyAlignment="1" applyProtection="1">
      <alignment wrapText="1"/>
      <protection locked="0"/>
    </xf>
    <xf numFmtId="0" fontId="195" fillId="0" borderId="27" xfId="0" applyFont="1" applyBorder="1" applyAlignment="1" applyProtection="1">
      <alignment wrapText="1"/>
      <protection locked="0"/>
    </xf>
    <xf numFmtId="0" fontId="195" fillId="0" borderId="21" xfId="0" applyFont="1" applyBorder="1" applyAlignment="1" applyProtection="1">
      <alignment wrapText="1"/>
      <protection locked="0"/>
    </xf>
    <xf numFmtId="0" fontId="195" fillId="0" borderId="24" xfId="0" applyFont="1" applyBorder="1" applyAlignment="1" applyProtection="1">
      <alignment horizontal="center" vertical="center" wrapText="1"/>
      <protection locked="0"/>
    </xf>
    <xf numFmtId="0" fontId="183" fillId="25" borderId="24" xfId="0" applyFont="1" applyFill="1" applyBorder="1" applyAlignment="1" applyProtection="1">
      <alignment horizontal="center" vertical="center" wrapText="1"/>
      <protection locked="0"/>
    </xf>
    <xf numFmtId="0" fontId="183" fillId="25" borderId="27" xfId="0" applyFont="1" applyFill="1" applyBorder="1" applyAlignment="1" applyProtection="1">
      <alignment horizontal="center" vertical="center" wrapText="1"/>
      <protection locked="0"/>
    </xf>
    <xf numFmtId="9" fontId="195" fillId="0" borderId="27" xfId="0" applyNumberFormat="1" applyFont="1" applyBorder="1" applyAlignment="1" applyProtection="1">
      <alignment horizontal="center" vertical="center" wrapText="1"/>
      <protection locked="0"/>
    </xf>
    <xf numFmtId="9" fontId="195" fillId="0" borderId="37" xfId="0" applyNumberFormat="1" applyFont="1" applyBorder="1" applyAlignment="1" applyProtection="1">
      <alignment horizontal="center" vertical="center" wrapText="1"/>
      <protection locked="0"/>
    </xf>
    <xf numFmtId="1" fontId="183" fillId="25" borderId="27" xfId="0" applyNumberFormat="1" applyFont="1" applyFill="1" applyBorder="1" applyAlignment="1" applyProtection="1">
      <alignment horizontal="center" wrapText="1"/>
      <protection locked="0"/>
    </xf>
    <xf numFmtId="1" fontId="183" fillId="25" borderId="37" xfId="0" applyNumberFormat="1" applyFont="1" applyFill="1" applyBorder="1" applyAlignment="1" applyProtection="1">
      <alignment horizontal="center" wrapText="1"/>
      <protection locked="0"/>
    </xf>
    <xf numFmtId="49" fontId="195" fillId="0" borderId="31" xfId="0" applyNumberFormat="1" applyFont="1" applyBorder="1" applyAlignment="1" applyProtection="1">
      <alignment wrapText="1"/>
      <protection locked="0"/>
    </xf>
    <xf numFmtId="0" fontId="230" fillId="21" borderId="24" xfId="0" applyFont="1" applyFill="1" applyBorder="1" applyAlignment="1" applyProtection="1">
      <alignment wrapText="1"/>
      <protection locked="0"/>
    </xf>
    <xf numFmtId="0" fontId="197" fillId="0" borderId="24" xfId="0" applyFont="1" applyBorder="1" applyAlignment="1" applyProtection="1">
      <alignment vertical="center" wrapText="1"/>
      <protection locked="0"/>
    </xf>
    <xf numFmtId="0" fontId="197" fillId="0" borderId="24" xfId="0" applyFont="1" applyBorder="1" applyAlignment="1" applyProtection="1">
      <alignment horizontal="center" vertical="center" wrapText="1"/>
      <protection locked="0"/>
    </xf>
    <xf numFmtId="180" fontId="197" fillId="0" borderId="24" xfId="0" applyNumberFormat="1" applyFont="1" applyBorder="1" applyAlignment="1" applyProtection="1">
      <alignment horizontal="center" vertical="center" wrapText="1"/>
      <protection locked="0"/>
    </xf>
    <xf numFmtId="180" fontId="197" fillId="0" borderId="24" xfId="0" applyNumberFormat="1" applyFont="1" applyBorder="1" applyAlignment="1" applyProtection="1">
      <alignment vertical="center" wrapText="1"/>
      <protection locked="0"/>
    </xf>
    <xf numFmtId="0" fontId="197" fillId="0" borderId="27" xfId="0" applyFont="1" applyBorder="1" applyAlignment="1" applyProtection="1">
      <alignment vertical="center" wrapText="1"/>
      <protection locked="0"/>
    </xf>
    <xf numFmtId="0" fontId="197" fillId="0" borderId="27" xfId="0" applyFont="1" applyBorder="1" applyAlignment="1" applyProtection="1">
      <alignment horizontal="center" vertical="center" wrapText="1"/>
      <protection locked="0"/>
    </xf>
    <xf numFmtId="0" fontId="231" fillId="0" borderId="0" xfId="2" applyFont="1"/>
    <xf numFmtId="0" fontId="1" fillId="0" borderId="1" xfId="2" applyBorder="1"/>
    <xf numFmtId="0" fontId="2" fillId="0" borderId="1" xfId="2" applyFont="1" applyBorder="1" applyAlignment="1">
      <alignment horizontal="center"/>
    </xf>
    <xf numFmtId="0" fontId="1" fillId="0" borderId="1" xfId="2" applyBorder="1" applyAlignment="1">
      <alignment horizontal="center"/>
    </xf>
    <xf numFmtId="14" fontId="1" fillId="0" borderId="1" xfId="2" applyNumberFormat="1" applyBorder="1" applyAlignment="1">
      <alignment horizontal="center"/>
    </xf>
    <xf numFmtId="0" fontId="4" fillId="0" borderId="1" xfId="2" applyFont="1" applyBorder="1" applyAlignment="1">
      <alignment wrapText="1"/>
    </xf>
    <xf numFmtId="0" fontId="3" fillId="0" borderId="1" xfId="2" applyFont="1" applyBorder="1" applyAlignment="1">
      <alignment wrapText="1"/>
    </xf>
    <xf numFmtId="0" fontId="6" fillId="0" borderId="1" xfId="0" applyFont="1" applyBorder="1" applyAlignment="1">
      <alignment horizontal="center" vertical="center" textRotation="90" wrapText="1"/>
    </xf>
    <xf numFmtId="0" fontId="3" fillId="0" borderId="3" xfId="2" applyFont="1" applyBorder="1" applyAlignment="1">
      <alignment horizontal="center"/>
    </xf>
    <xf numFmtId="14" fontId="3" fillId="0" borderId="3" xfId="2" applyNumberFormat="1" applyFont="1" applyBorder="1" applyAlignment="1">
      <alignment horizontal="center"/>
    </xf>
    <xf numFmtId="0" fontId="74" fillId="0" borderId="24" xfId="0" applyFont="1" applyBorder="1" applyAlignment="1">
      <alignment horizontal="left" wrapText="1"/>
    </xf>
    <xf numFmtId="0" fontId="0" fillId="0" borderId="1" xfId="0" applyBorder="1"/>
    <xf numFmtId="0" fontId="0" fillId="0" borderId="48" xfId="0" applyBorder="1" applyAlignment="1">
      <alignment horizontal="center"/>
    </xf>
    <xf numFmtId="0" fontId="0" fillId="0" borderId="109" xfId="0" applyBorder="1" applyAlignment="1">
      <alignment horizontal="center"/>
    </xf>
    <xf numFmtId="0" fontId="0" fillId="0" borderId="48" xfId="0" applyBorder="1" applyAlignment="1">
      <alignment horizontal="center" vertical="center"/>
    </xf>
    <xf numFmtId="0" fontId="0" fillId="0" borderId="125" xfId="0" applyBorder="1" applyAlignment="1">
      <alignment horizontal="center" vertical="center"/>
    </xf>
    <xf numFmtId="0" fontId="0" fillId="0" borderId="71" xfId="0" applyBorder="1" applyAlignment="1">
      <alignment horizontal="left" vertical="center"/>
    </xf>
    <xf numFmtId="0" fontId="0" fillId="0" borderId="0" xfId="0" applyAlignment="1">
      <alignment horizontal="left" vertical="center"/>
    </xf>
    <xf numFmtId="0" fontId="0" fillId="0" borderId="126" xfId="0" applyBorder="1" applyAlignment="1">
      <alignment horizontal="left" vertical="center"/>
    </xf>
    <xf numFmtId="0" fontId="0" fillId="0" borderId="109" xfId="0" applyBorder="1" applyAlignment="1">
      <alignment horizontal="center" vertical="center"/>
    </xf>
    <xf numFmtId="0" fontId="0" fillId="0" borderId="48" xfId="0" applyBorder="1" applyAlignment="1">
      <alignment horizontal="left" vertical="center"/>
    </xf>
    <xf numFmtId="0" fontId="0" fillId="0" borderId="125" xfId="0" applyBorder="1" applyAlignment="1">
      <alignment horizontal="left" vertical="center"/>
    </xf>
    <xf numFmtId="0" fontId="0" fillId="0" borderId="109" xfId="0" applyBorder="1" applyAlignment="1">
      <alignment horizontal="left" vertical="center"/>
    </xf>
    <xf numFmtId="0" fontId="0" fillId="0" borderId="127" xfId="0" applyBorder="1" applyAlignment="1">
      <alignment horizontal="center" vertical="center"/>
    </xf>
    <xf numFmtId="0" fontId="0" fillId="0" borderId="128" xfId="0" applyBorder="1" applyAlignment="1">
      <alignment horizontal="center" vertical="center"/>
    </xf>
    <xf numFmtId="0" fontId="0" fillId="0" borderId="129" xfId="0" applyBorder="1" applyAlignment="1">
      <alignment horizontal="center" vertical="center"/>
    </xf>
    <xf numFmtId="0" fontId="0" fillId="0" borderId="24" xfId="0" applyBorder="1" applyAlignment="1">
      <alignment horizontal="left" vertical="center"/>
    </xf>
    <xf numFmtId="0" fontId="0" fillId="0" borderId="24" xfId="0" applyBorder="1" applyAlignment="1">
      <alignment horizontal="center" vertical="center" wrapText="1"/>
    </xf>
    <xf numFmtId="0" fontId="0" fillId="0" borderId="24" xfId="0" applyBorder="1" applyAlignment="1">
      <alignment horizontal="center"/>
    </xf>
    <xf numFmtId="0" fontId="0" fillId="0" borderId="0" xfId="0" applyAlignment="1">
      <alignment horizontal="left"/>
    </xf>
    <xf numFmtId="0" fontId="0" fillId="0" borderId="28" xfId="0" applyBorder="1" applyAlignment="1" applyProtection="1">
      <alignment horizontal="center" wrapText="1"/>
      <protection locked="0"/>
    </xf>
    <xf numFmtId="0" fontId="0" fillId="0" borderId="75" xfId="0" applyBorder="1" applyAlignment="1" applyProtection="1">
      <alignment horizontal="center" wrapText="1"/>
      <protection locked="0"/>
    </xf>
    <xf numFmtId="0" fontId="170" fillId="0" borderId="49" xfId="0" applyFont="1" applyBorder="1" applyAlignment="1">
      <alignment horizontal="center" vertical="top" wrapText="1"/>
    </xf>
    <xf numFmtId="0" fontId="170" fillId="0" borderId="50" xfId="0" applyFont="1" applyBorder="1" applyAlignment="1">
      <alignment horizontal="center" vertical="top" wrapText="1"/>
    </xf>
    <xf numFmtId="0" fontId="170" fillId="0" borderId="46" xfId="0" applyFont="1" applyBorder="1" applyAlignment="1">
      <alignment horizontal="center" vertical="top" wrapText="1"/>
    </xf>
    <xf numFmtId="0" fontId="170" fillId="0" borderId="45" xfId="0" applyFont="1" applyBorder="1" applyAlignment="1">
      <alignment horizontal="center" vertical="top" wrapText="1"/>
    </xf>
    <xf numFmtId="0" fontId="170" fillId="0" borderId="0" xfId="0" applyFont="1" applyAlignment="1">
      <alignment horizontal="center" vertical="top" wrapText="1"/>
    </xf>
    <xf numFmtId="0" fontId="170" fillId="0" borderId="47" xfId="0" applyFont="1" applyBorder="1" applyAlignment="1">
      <alignment horizontal="center" vertical="top" wrapText="1"/>
    </xf>
    <xf numFmtId="0" fontId="170" fillId="0" borderId="58" xfId="0" applyFont="1" applyBorder="1" applyAlignment="1">
      <alignment horizontal="center" vertical="top" wrapText="1"/>
    </xf>
    <xf numFmtId="0" fontId="170" fillId="0" borderId="59" xfId="0" applyFont="1" applyBorder="1" applyAlignment="1">
      <alignment horizontal="center" vertical="top" wrapText="1"/>
    </xf>
    <xf numFmtId="0" fontId="170" fillId="0" borderId="60" xfId="0" applyFont="1" applyBorder="1" applyAlignment="1">
      <alignment horizontal="center" vertical="top" wrapText="1"/>
    </xf>
    <xf numFmtId="0" fontId="172" fillId="10" borderId="19" xfId="0" applyFont="1" applyFill="1" applyBorder="1" applyAlignment="1" applyProtection="1">
      <alignment horizontal="center" wrapText="1"/>
      <protection locked="0"/>
    </xf>
    <xf numFmtId="0" fontId="172" fillId="10" borderId="22" xfId="0" applyFont="1" applyFill="1" applyBorder="1" applyAlignment="1" applyProtection="1">
      <alignment horizontal="center" wrapText="1"/>
      <protection locked="0"/>
    </xf>
    <xf numFmtId="0" fontId="197" fillId="0" borderId="25" xfId="0" applyFont="1" applyBorder="1" applyAlignment="1" applyProtection="1">
      <alignment horizontal="center" vertical="center" wrapText="1"/>
      <protection locked="0"/>
    </xf>
    <xf numFmtId="0" fontId="197" fillId="0" borderId="28" xfId="0" applyFont="1" applyBorder="1" applyAlignment="1" applyProtection="1">
      <alignment horizontal="center" vertical="center" wrapText="1"/>
      <protection locked="0"/>
    </xf>
    <xf numFmtId="0" fontId="197" fillId="0" borderId="30" xfId="0" applyFont="1" applyBorder="1" applyAlignment="1" applyProtection="1">
      <alignment horizontal="center" vertical="center" wrapText="1"/>
      <protection locked="0"/>
    </xf>
    <xf numFmtId="180" fontId="197" fillId="0" borderId="25" xfId="0" applyNumberFormat="1" applyFont="1" applyBorder="1" applyAlignment="1" applyProtection="1">
      <alignment horizontal="center" vertical="center" wrapText="1"/>
      <protection locked="0"/>
    </xf>
    <xf numFmtId="180" fontId="197" fillId="0" borderId="28" xfId="0" applyNumberFormat="1" applyFont="1" applyBorder="1" applyAlignment="1" applyProtection="1">
      <alignment horizontal="center" vertical="center" wrapText="1"/>
      <protection locked="0"/>
    </xf>
    <xf numFmtId="180" fontId="197" fillId="0" borderId="30" xfId="0" applyNumberFormat="1" applyFont="1" applyBorder="1" applyAlignment="1" applyProtection="1">
      <alignment horizontal="center" vertical="center" wrapText="1"/>
      <protection locked="0"/>
    </xf>
    <xf numFmtId="0" fontId="197" fillId="0" borderId="69" xfId="0" applyFont="1" applyBorder="1" applyAlignment="1" applyProtection="1">
      <alignment horizontal="center" vertical="center" wrapText="1"/>
      <protection locked="0"/>
    </xf>
    <xf numFmtId="180" fontId="197" fillId="0" borderId="69" xfId="0" applyNumberFormat="1" applyFont="1" applyBorder="1" applyAlignment="1" applyProtection="1">
      <alignment horizontal="center" vertical="center" wrapText="1"/>
      <protection locked="0"/>
    </xf>
    <xf numFmtId="0" fontId="6" fillId="0" borderId="18" xfId="0" applyFont="1" applyBorder="1" applyAlignment="1" applyProtection="1">
      <alignment horizontal="center" wrapText="1"/>
      <protection locked="0"/>
    </xf>
    <xf numFmtId="0" fontId="6" fillId="0" borderId="20" xfId="0" applyFont="1" applyBorder="1" applyAlignment="1" applyProtection="1">
      <alignment horizontal="center" wrapText="1"/>
      <protection locked="0"/>
    </xf>
    <xf numFmtId="0" fontId="192" fillId="0" borderId="0" xfId="0" applyFont="1" applyAlignment="1">
      <alignment horizontal="left" wrapText="1"/>
    </xf>
    <xf numFmtId="0" fontId="195" fillId="10" borderId="24" xfId="0" applyFont="1" applyFill="1" applyBorder="1" applyAlignment="1">
      <alignment horizontal="center" wrapText="1"/>
    </xf>
    <xf numFmtId="0" fontId="195" fillId="10" borderId="20" xfId="0" applyFont="1" applyFill="1" applyBorder="1" applyAlignment="1">
      <alignment horizontal="center" wrapText="1"/>
    </xf>
    <xf numFmtId="49" fontId="195" fillId="10" borderId="73" xfId="0" applyNumberFormat="1" applyFont="1" applyFill="1" applyBorder="1" applyAlignment="1" applyProtection="1">
      <alignment horizontal="right" wrapText="1"/>
      <protection locked="0"/>
    </xf>
    <xf numFmtId="49" fontId="195" fillId="10" borderId="67" xfId="0" applyNumberFormat="1" applyFont="1" applyFill="1" applyBorder="1" applyAlignment="1" applyProtection="1">
      <alignment horizontal="right" wrapText="1"/>
      <protection locked="0"/>
    </xf>
    <xf numFmtId="49" fontId="195" fillId="10" borderId="70" xfId="0" applyNumberFormat="1" applyFont="1" applyFill="1" applyBorder="1" applyAlignment="1" applyProtection="1">
      <alignment horizontal="right" wrapText="1"/>
      <protection locked="0"/>
    </xf>
    <xf numFmtId="3" fontId="195" fillId="0" borderId="31" xfId="0" applyNumberFormat="1" applyFont="1" applyBorder="1" applyAlignment="1" applyProtection="1">
      <alignment horizontal="center" wrapText="1"/>
      <protection locked="0"/>
    </xf>
    <xf numFmtId="0" fontId="195" fillId="0" borderId="79" xfId="0" applyFont="1" applyBorder="1" applyAlignment="1" applyProtection="1">
      <alignment horizontal="center" wrapText="1"/>
      <protection locked="0"/>
    </xf>
    <xf numFmtId="0" fontId="170" fillId="0" borderId="24" xfId="0" applyFont="1" applyBorder="1" applyAlignment="1">
      <alignment horizontal="left" vertical="center" wrapText="1"/>
    </xf>
    <xf numFmtId="0" fontId="209" fillId="22" borderId="26" xfId="0" applyFont="1" applyFill="1" applyBorder="1" applyAlignment="1" applyProtection="1">
      <alignment horizontal="left" vertical="center" wrapText="1"/>
      <protection locked="0"/>
    </xf>
    <xf numFmtId="0" fontId="209" fillId="22" borderId="22" xfId="0" applyFont="1" applyFill="1" applyBorder="1" applyAlignment="1" applyProtection="1">
      <alignment horizontal="left" vertical="center" wrapText="1"/>
      <protection locked="0"/>
    </xf>
    <xf numFmtId="0" fontId="209" fillId="22" borderId="24" xfId="0" applyFont="1" applyFill="1" applyBorder="1" applyAlignment="1" applyProtection="1">
      <alignment horizontal="left" vertical="center" wrapText="1"/>
      <protection locked="0"/>
    </xf>
    <xf numFmtId="0" fontId="209" fillId="22" borderId="20" xfId="0" applyFont="1" applyFill="1" applyBorder="1" applyAlignment="1" applyProtection="1">
      <alignment horizontal="left" vertical="center" wrapText="1"/>
      <protection locked="0"/>
    </xf>
    <xf numFmtId="0" fontId="177" fillId="0" borderId="43" xfId="0" applyFont="1" applyBorder="1" applyAlignment="1">
      <alignment horizontal="left" wrapText="1"/>
    </xf>
    <xf numFmtId="0" fontId="177" fillId="0" borderId="41" xfId="0" applyFont="1" applyBorder="1" applyAlignment="1">
      <alignment horizontal="left" wrapText="1"/>
    </xf>
    <xf numFmtId="0" fontId="177" fillId="0" borderId="57" xfId="0" applyFont="1" applyBorder="1" applyAlignment="1">
      <alignment horizontal="left" wrapText="1"/>
    </xf>
    <xf numFmtId="0" fontId="0" fillId="0" borderId="26" xfId="0" applyBorder="1" applyAlignment="1" applyProtection="1">
      <alignment horizontal="center" wrapText="1"/>
      <protection locked="0"/>
    </xf>
    <xf numFmtId="0" fontId="0" fillId="0" borderId="22" xfId="0" applyBorder="1" applyAlignment="1" applyProtection="1">
      <alignment horizontal="center" wrapText="1"/>
      <protection locked="0"/>
    </xf>
    <xf numFmtId="0" fontId="0" fillId="0" borderId="24" xfId="0" applyBorder="1" applyAlignment="1" applyProtection="1">
      <alignment horizontal="center" wrapText="1"/>
      <protection locked="0"/>
    </xf>
    <xf numFmtId="0" fontId="0" fillId="0" borderId="20" xfId="0" applyBorder="1" applyAlignment="1" applyProtection="1">
      <alignment horizontal="center" wrapText="1"/>
      <protection locked="0"/>
    </xf>
    <xf numFmtId="0" fontId="0" fillId="0" borderId="27" xfId="0" applyBorder="1" applyAlignment="1" applyProtection="1">
      <alignment horizontal="center" wrapText="1"/>
      <protection locked="0"/>
    </xf>
    <xf numFmtId="0" fontId="0" fillId="0" borderId="21" xfId="0" applyBorder="1" applyAlignment="1" applyProtection="1">
      <alignment horizontal="center" wrapText="1"/>
      <protection locked="0"/>
    </xf>
    <xf numFmtId="0" fontId="195" fillId="0" borderId="27" xfId="0" applyFont="1" applyBorder="1" applyAlignment="1" applyProtection="1">
      <alignment horizontal="center" wrapText="1"/>
      <protection locked="0"/>
    </xf>
    <xf numFmtId="0" fontId="195" fillId="0" borderId="21" xfId="0" applyFont="1" applyBorder="1" applyAlignment="1" applyProtection="1">
      <alignment horizontal="center" wrapText="1"/>
      <protection locked="0"/>
    </xf>
    <xf numFmtId="0" fontId="170" fillId="10" borderId="36" xfId="0" applyFont="1" applyFill="1" applyBorder="1" applyAlignment="1" applyProtection="1">
      <alignment horizontal="center" wrapText="1"/>
      <protection locked="0"/>
    </xf>
    <xf numFmtId="0" fontId="170" fillId="10" borderId="68" xfId="0" applyFont="1" applyFill="1" applyBorder="1" applyAlignment="1" applyProtection="1">
      <alignment horizontal="center" wrapText="1"/>
      <protection locked="0"/>
    </xf>
    <xf numFmtId="0" fontId="195" fillId="12" borderId="27" xfId="0" applyFont="1" applyFill="1" applyBorder="1" applyAlignment="1" applyProtection="1">
      <alignment horizontal="center" wrapText="1"/>
      <protection locked="0"/>
    </xf>
    <xf numFmtId="0" fontId="195" fillId="12" borderId="24" xfId="0" applyFont="1" applyFill="1" applyBorder="1" applyAlignment="1" applyProtection="1">
      <alignment horizontal="center" wrapText="1"/>
      <protection locked="0"/>
    </xf>
    <xf numFmtId="0" fontId="0" fillId="0" borderId="31" xfId="0"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xf>
    <xf numFmtId="0" fontId="229" fillId="12" borderId="36" xfId="0" applyFont="1" applyFill="1" applyBorder="1" applyAlignment="1" applyProtection="1">
      <alignment horizontal="left" vertical="center" wrapText="1"/>
      <protection locked="0"/>
    </xf>
    <xf numFmtId="0" fontId="229" fillId="12" borderId="86" xfId="0" applyFont="1" applyFill="1" applyBorder="1" applyAlignment="1" applyProtection="1">
      <alignment horizontal="left" vertical="center" wrapText="1"/>
      <protection locked="0"/>
    </xf>
    <xf numFmtId="0" fontId="229" fillId="12" borderId="68" xfId="0" applyFont="1" applyFill="1" applyBorder="1" applyAlignment="1" applyProtection="1">
      <alignment horizontal="left" vertical="center" wrapText="1"/>
      <protection locked="0"/>
    </xf>
    <xf numFmtId="0" fontId="229" fillId="12" borderId="31" xfId="0" applyFont="1" applyFill="1" applyBorder="1" applyAlignment="1" applyProtection="1">
      <alignment horizontal="left" vertical="center" wrapText="1"/>
      <protection locked="0"/>
    </xf>
    <xf numFmtId="0" fontId="229" fillId="12" borderId="67" xfId="0" applyFont="1" applyFill="1" applyBorder="1" applyAlignment="1" applyProtection="1">
      <alignment horizontal="left" vertical="center" wrapText="1"/>
      <protection locked="0"/>
    </xf>
    <xf numFmtId="0" fontId="229" fillId="12" borderId="79" xfId="0" applyFont="1" applyFill="1" applyBorder="1" applyAlignment="1" applyProtection="1">
      <alignment horizontal="left" vertical="center" wrapText="1"/>
      <protection locked="0"/>
    </xf>
    <xf numFmtId="9" fontId="195" fillId="0" borderId="27" xfId="0" applyNumberFormat="1" applyFont="1" applyBorder="1" applyAlignment="1" applyProtection="1">
      <alignment horizontal="center" vertical="center" wrapText="1"/>
      <protection locked="0"/>
    </xf>
    <xf numFmtId="9" fontId="195" fillId="0" borderId="21" xfId="0" applyNumberFormat="1" applyFont="1" applyBorder="1" applyAlignment="1" applyProtection="1">
      <alignment horizontal="center" vertical="center" wrapText="1"/>
      <protection locked="0"/>
    </xf>
    <xf numFmtId="1" fontId="195" fillId="0" borderId="27" xfId="0" applyNumberFormat="1" applyFont="1" applyBorder="1" applyAlignment="1" applyProtection="1">
      <alignment horizontal="left" wrapText="1"/>
      <protection locked="0"/>
    </xf>
    <xf numFmtId="1" fontId="195" fillId="0" borderId="21" xfId="0" applyNumberFormat="1" applyFont="1" applyBorder="1" applyAlignment="1" applyProtection="1">
      <alignment horizontal="left" wrapText="1"/>
      <protection locked="0"/>
    </xf>
    <xf numFmtId="0" fontId="0" fillId="0" borderId="25" xfId="0" applyBorder="1" applyAlignment="1" applyProtection="1">
      <alignment horizontal="center" wrapText="1"/>
      <protection locked="0"/>
    </xf>
    <xf numFmtId="0" fontId="0" fillId="0" borderId="69" xfId="0" applyBorder="1" applyAlignment="1" applyProtection="1">
      <alignment horizontal="center" wrapText="1"/>
      <protection locked="0"/>
    </xf>
    <xf numFmtId="0" fontId="167" fillId="0" borderId="0" xfId="0" applyFont="1" applyAlignment="1">
      <alignment horizontal="left" wrapText="1"/>
    </xf>
    <xf numFmtId="0" fontId="0" fillId="0" borderId="39" xfId="0" applyBorder="1" applyAlignment="1" applyProtection="1">
      <alignment horizontal="center" wrapText="1"/>
      <protection locked="0"/>
    </xf>
    <xf numFmtId="0" fontId="0" fillId="0" borderId="63" xfId="0" applyBorder="1" applyAlignment="1" applyProtection="1">
      <alignment horizontal="center" wrapText="1"/>
      <protection locked="0"/>
    </xf>
    <xf numFmtId="0" fontId="0" fillId="0" borderId="29" xfId="0" applyBorder="1" applyAlignment="1" applyProtection="1">
      <alignment horizontal="center" wrapText="1"/>
      <protection locked="0"/>
    </xf>
    <xf numFmtId="0" fontId="0" fillId="0" borderId="47"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0" fillId="0" borderId="60" xfId="0" applyBorder="1" applyAlignment="1" applyProtection="1">
      <alignment horizontal="center" wrapText="1"/>
      <protection locked="0"/>
    </xf>
    <xf numFmtId="0" fontId="188" fillId="0" borderId="0" xfId="0" applyFont="1" applyAlignment="1">
      <alignment horizontal="left" wrapText="1"/>
    </xf>
    <xf numFmtId="0" fontId="0" fillId="0" borderId="50" xfId="0" applyBorder="1" applyAlignment="1">
      <alignment horizontal="center" wrapText="1"/>
    </xf>
    <xf numFmtId="0" fontId="0" fillId="0" borderId="46" xfId="0" applyBorder="1" applyAlignment="1">
      <alignment horizontal="center" wrapText="1"/>
    </xf>
    <xf numFmtId="0" fontId="0" fillId="0" borderId="0" xfId="0" applyAlignment="1">
      <alignment horizontal="center" wrapText="1"/>
    </xf>
    <xf numFmtId="0" fontId="0" fillId="0" borderId="47" xfId="0" applyBorder="1" applyAlignment="1">
      <alignment horizontal="center" wrapText="1"/>
    </xf>
    <xf numFmtId="0" fontId="0" fillId="0" borderId="59" xfId="0" applyBorder="1" applyAlignment="1">
      <alignment horizontal="center" wrapText="1"/>
    </xf>
    <xf numFmtId="0" fontId="0" fillId="0" borderId="60" xfId="0" applyBorder="1" applyAlignment="1">
      <alignment horizontal="center" wrapText="1"/>
    </xf>
    <xf numFmtId="0" fontId="195" fillId="0" borderId="49" xfId="0" applyFont="1" applyBorder="1" applyAlignment="1" applyProtection="1">
      <alignment horizontal="left" vertical="center" wrapText="1"/>
      <protection locked="0"/>
    </xf>
    <xf numFmtId="0" fontId="195" fillId="0" borderId="50" xfId="0" applyFont="1" applyBorder="1" applyAlignment="1" applyProtection="1">
      <alignment horizontal="left" vertical="center" wrapText="1"/>
      <protection locked="0"/>
    </xf>
    <xf numFmtId="0" fontId="195" fillId="0" borderId="118" xfId="0" applyFont="1" applyBorder="1" applyAlignment="1" applyProtection="1">
      <alignment horizontal="left" vertical="center" wrapText="1"/>
      <protection locked="0"/>
    </xf>
    <xf numFmtId="0" fontId="195" fillId="0" borderId="117" xfId="0" applyFont="1" applyBorder="1" applyAlignment="1" applyProtection="1">
      <alignment horizontal="left" vertical="center" wrapText="1"/>
      <protection locked="0"/>
    </xf>
    <xf numFmtId="0" fontId="195" fillId="0" borderId="61" xfId="0" applyFont="1" applyBorder="1" applyAlignment="1" applyProtection="1">
      <alignment horizontal="left" vertical="center" wrapText="1"/>
      <protection locked="0"/>
    </xf>
    <xf numFmtId="0" fontId="195" fillId="0" borderId="53" xfId="0" applyFont="1" applyBorder="1" applyAlignment="1" applyProtection="1">
      <alignment horizontal="left" vertical="center" wrapText="1"/>
      <protection locked="0"/>
    </xf>
    <xf numFmtId="0" fontId="195" fillId="0" borderId="73" xfId="0" applyFont="1" applyBorder="1" applyAlignment="1" applyProtection="1">
      <alignment horizontal="left" vertical="center" wrapText="1"/>
      <protection locked="0"/>
    </xf>
    <xf numFmtId="0" fontId="195" fillId="0" borderId="67" xfId="0" applyFont="1" applyBorder="1" applyAlignment="1" applyProtection="1">
      <alignment horizontal="left" vertical="center" wrapText="1"/>
      <protection locked="0"/>
    </xf>
    <xf numFmtId="0" fontId="195" fillId="0" borderId="70" xfId="0" applyFont="1" applyBorder="1" applyAlignment="1" applyProtection="1">
      <alignment horizontal="left" vertical="center" wrapText="1"/>
      <protection locked="0"/>
    </xf>
    <xf numFmtId="0" fontId="195" fillId="0" borderId="116" xfId="0" applyFont="1" applyBorder="1" applyAlignment="1" applyProtection="1">
      <alignment horizontal="left" vertical="center" wrapText="1"/>
      <protection locked="0"/>
    </xf>
    <xf numFmtId="0" fontId="195" fillId="0" borderId="62" xfId="0" applyFont="1" applyBorder="1" applyAlignment="1" applyProtection="1">
      <alignment horizontal="left" vertical="center" wrapText="1"/>
      <protection locked="0"/>
    </xf>
    <xf numFmtId="0" fontId="195" fillId="0" borderId="51" xfId="0" applyFont="1" applyBorder="1" applyAlignment="1" applyProtection="1">
      <alignment horizontal="left" vertical="center" wrapText="1"/>
      <protection locked="0"/>
    </xf>
    <xf numFmtId="0" fontId="195" fillId="0" borderId="58" xfId="0" applyFont="1" applyBorder="1" applyAlignment="1" applyProtection="1">
      <alignment horizontal="left" vertical="center" wrapText="1"/>
      <protection locked="0"/>
    </xf>
    <xf numFmtId="0" fontId="195" fillId="0" borderId="59" xfId="0" applyFont="1" applyBorder="1" applyAlignment="1" applyProtection="1">
      <alignment horizontal="left" vertical="center" wrapText="1"/>
      <protection locked="0"/>
    </xf>
    <xf numFmtId="0" fontId="195" fillId="0" borderId="119" xfId="0" applyFont="1" applyBorder="1" applyAlignment="1" applyProtection="1">
      <alignment horizontal="left" vertical="center" wrapText="1"/>
      <protection locked="0"/>
    </xf>
    <xf numFmtId="0" fontId="227" fillId="12" borderId="66" xfId="0" applyFont="1" applyFill="1" applyBorder="1" applyAlignment="1" applyProtection="1">
      <alignment horizontal="left" vertical="center" wrapText="1"/>
      <protection locked="0"/>
    </xf>
    <xf numFmtId="0" fontId="227" fillId="12" borderId="50" xfId="0" applyFont="1" applyFill="1" applyBorder="1" applyAlignment="1" applyProtection="1">
      <alignment horizontal="left" vertical="center" wrapText="1"/>
      <protection locked="0"/>
    </xf>
    <xf numFmtId="0" fontId="227" fillId="12" borderId="46" xfId="0" applyFont="1" applyFill="1" applyBorder="1" applyAlignment="1" applyProtection="1">
      <alignment horizontal="left" vertical="center" wrapText="1"/>
      <protection locked="0"/>
    </xf>
    <xf numFmtId="0" fontId="227" fillId="12" borderId="38" xfId="0" applyFont="1" applyFill="1" applyBorder="1" applyAlignment="1" applyProtection="1">
      <alignment horizontal="left" vertical="center" wrapText="1"/>
      <protection locked="0"/>
    </xf>
    <xf numFmtId="0" fontId="227" fillId="12" borderId="61" xfId="0" applyFont="1" applyFill="1" applyBorder="1" applyAlignment="1" applyProtection="1">
      <alignment horizontal="left" vertical="center" wrapText="1"/>
      <protection locked="0"/>
    </xf>
    <xf numFmtId="0" fontId="227" fillId="12" borderId="115" xfId="0" applyFont="1" applyFill="1" applyBorder="1" applyAlignment="1" applyProtection="1">
      <alignment horizontal="left" vertical="center" wrapText="1"/>
      <protection locked="0"/>
    </xf>
    <xf numFmtId="0" fontId="227" fillId="12" borderId="31" xfId="0" applyFont="1" applyFill="1" applyBorder="1" applyAlignment="1" applyProtection="1">
      <alignment horizontal="left" vertical="center" wrapText="1"/>
      <protection locked="0"/>
    </xf>
    <xf numFmtId="0" fontId="227" fillId="12" borderId="67" xfId="0" applyFont="1" applyFill="1" applyBorder="1" applyAlignment="1" applyProtection="1">
      <alignment horizontal="left" vertical="center" wrapText="1"/>
      <protection locked="0"/>
    </xf>
    <xf numFmtId="0" fontId="227" fillId="12" borderId="79" xfId="0" applyFont="1" applyFill="1" applyBorder="1" applyAlignment="1" applyProtection="1">
      <alignment horizontal="left" vertical="center" wrapText="1"/>
      <protection locked="0"/>
    </xf>
    <xf numFmtId="0" fontId="227" fillId="12" borderId="39" xfId="0" applyFont="1" applyFill="1" applyBorder="1" applyAlignment="1" applyProtection="1">
      <alignment horizontal="left" vertical="center" wrapText="1"/>
      <protection locked="0"/>
    </xf>
    <xf numFmtId="0" fontId="227" fillId="12" borderId="62" xfId="0" applyFont="1" applyFill="1" applyBorder="1" applyAlignment="1" applyProtection="1">
      <alignment horizontal="left" vertical="center" wrapText="1"/>
      <protection locked="0"/>
    </xf>
    <xf numFmtId="0" fontId="227" fillId="12" borderId="63" xfId="0" applyFont="1" applyFill="1" applyBorder="1" applyAlignment="1" applyProtection="1">
      <alignment horizontal="left" vertical="center" wrapText="1"/>
      <protection locked="0"/>
    </xf>
    <xf numFmtId="0" fontId="227" fillId="12" borderId="64" xfId="0" applyFont="1" applyFill="1" applyBorder="1" applyAlignment="1" applyProtection="1">
      <alignment horizontal="left" vertical="center" wrapText="1"/>
      <protection locked="0"/>
    </xf>
    <xf numFmtId="0" fontId="227" fillId="12" borderId="59" xfId="0" applyFont="1" applyFill="1" applyBorder="1" applyAlignment="1" applyProtection="1">
      <alignment horizontal="left" vertical="center" wrapText="1"/>
      <protection locked="0"/>
    </xf>
    <xf numFmtId="0" fontId="227" fillId="12" borderId="60" xfId="0" applyFont="1" applyFill="1" applyBorder="1" applyAlignment="1" applyProtection="1">
      <alignment horizontal="left" vertical="center" wrapText="1"/>
      <protection locked="0"/>
    </xf>
    <xf numFmtId="0" fontId="191" fillId="25" borderId="32" xfId="0" applyFont="1" applyFill="1" applyBorder="1" applyAlignment="1">
      <alignment vertical="center" wrapText="1"/>
    </xf>
    <xf numFmtId="0" fontId="191" fillId="25" borderId="25" xfId="0" applyFont="1" applyFill="1" applyBorder="1" applyAlignment="1">
      <alignment vertical="center" wrapText="1"/>
    </xf>
    <xf numFmtId="0" fontId="191" fillId="25" borderId="42" xfId="0" applyFont="1" applyFill="1" applyBorder="1" applyAlignment="1">
      <alignment vertical="center" wrapText="1"/>
    </xf>
    <xf numFmtId="0" fontId="191" fillId="21" borderId="33" xfId="0" applyFont="1" applyFill="1" applyBorder="1" applyAlignment="1">
      <alignment vertical="center" wrapText="1"/>
    </xf>
    <xf numFmtId="0" fontId="191" fillId="21" borderId="30" xfId="0" applyFont="1" applyFill="1" applyBorder="1" applyAlignment="1">
      <alignment vertical="center" wrapText="1"/>
    </xf>
    <xf numFmtId="0" fontId="191" fillId="21" borderId="91" xfId="0" applyFont="1" applyFill="1" applyBorder="1" applyAlignment="1">
      <alignment vertical="center" wrapText="1"/>
    </xf>
    <xf numFmtId="0" fontId="193" fillId="10" borderId="19" xfId="0" applyFont="1" applyFill="1" applyBorder="1" applyAlignment="1">
      <alignment horizontal="left" vertical="center" wrapText="1"/>
    </xf>
    <xf numFmtId="0" fontId="194" fillId="10" borderId="26" xfId="0" applyFont="1" applyFill="1" applyBorder="1" applyAlignment="1">
      <alignment horizontal="left" vertical="center" wrapText="1"/>
    </xf>
    <xf numFmtId="0" fontId="193" fillId="10" borderId="18" xfId="0" applyFont="1" applyFill="1" applyBorder="1" applyAlignment="1">
      <alignment horizontal="left" vertical="center" wrapText="1"/>
    </xf>
    <xf numFmtId="0" fontId="194" fillId="10" borderId="24" xfId="0" applyFont="1" applyFill="1" applyBorder="1" applyAlignment="1">
      <alignment horizontal="left" vertical="center" wrapText="1"/>
    </xf>
    <xf numFmtId="0" fontId="186" fillId="21" borderId="65" xfId="0" applyFont="1" applyFill="1" applyBorder="1" applyAlignment="1" applyProtection="1">
      <alignment horizontal="center" vertical="center" wrapText="1"/>
      <protection locked="0"/>
    </xf>
    <xf numFmtId="0" fontId="186" fillId="21" borderId="87" xfId="0" applyFont="1" applyFill="1" applyBorder="1" applyAlignment="1" applyProtection="1">
      <alignment horizontal="center" vertical="center" wrapText="1"/>
      <protection locked="0"/>
    </xf>
    <xf numFmtId="0" fontId="187" fillId="17" borderId="105" xfId="0" applyFont="1" applyFill="1" applyBorder="1" applyAlignment="1">
      <alignment vertical="center" wrapText="1"/>
    </xf>
    <xf numFmtId="0" fontId="187" fillId="17" borderId="69" xfId="0" applyFont="1" applyFill="1" applyBorder="1" applyAlignment="1">
      <alignment vertical="center" wrapText="1"/>
    </xf>
    <xf numFmtId="0" fontId="187" fillId="17" borderId="112" xfId="0" applyFont="1" applyFill="1" applyBorder="1" applyAlignment="1">
      <alignment vertical="center" wrapText="1"/>
    </xf>
    <xf numFmtId="0" fontId="185" fillId="21" borderId="31" xfId="0" applyFont="1" applyFill="1" applyBorder="1" applyAlignment="1" applyProtection="1">
      <alignment horizontal="center" vertical="center" wrapText="1"/>
      <protection locked="0"/>
    </xf>
    <xf numFmtId="0" fontId="185" fillId="21" borderId="70" xfId="0" applyFont="1" applyFill="1" applyBorder="1" applyAlignment="1" applyProtection="1">
      <alignment horizontal="center" vertical="center" wrapText="1"/>
      <protection locked="0"/>
    </xf>
    <xf numFmtId="0" fontId="179" fillId="10" borderId="73" xfId="0" applyFont="1" applyFill="1" applyBorder="1" applyAlignment="1">
      <alignment horizontal="left" vertical="center" wrapText="1"/>
    </xf>
    <xf numFmtId="0" fontId="179" fillId="10" borderId="70" xfId="0" applyFont="1" applyFill="1" applyBorder="1" applyAlignment="1">
      <alignment horizontal="left" vertical="center" wrapText="1"/>
    </xf>
    <xf numFmtId="0" fontId="179" fillId="10" borderId="18" xfId="0" applyFont="1" applyFill="1" applyBorder="1" applyAlignment="1">
      <alignment horizontal="left" vertical="center" wrapText="1"/>
    </xf>
    <xf numFmtId="0" fontId="169" fillId="10" borderId="24" xfId="0" applyFont="1" applyFill="1" applyBorder="1" applyAlignment="1">
      <alignment horizontal="left" vertical="center" wrapText="1"/>
    </xf>
    <xf numFmtId="0" fontId="193" fillId="10" borderId="23" xfId="0" applyFont="1" applyFill="1" applyBorder="1" applyAlignment="1">
      <alignment horizontal="left" vertical="center" wrapText="1"/>
    </xf>
    <xf numFmtId="0" fontId="193" fillId="10" borderId="27" xfId="0" applyFont="1" applyFill="1" applyBorder="1" applyAlignment="1">
      <alignment horizontal="left" vertical="center" wrapText="1"/>
    </xf>
    <xf numFmtId="0" fontId="195" fillId="12" borderId="31" xfId="0" applyFont="1" applyFill="1" applyBorder="1" applyAlignment="1" applyProtection="1">
      <alignment horizontal="center" wrapText="1"/>
      <protection locked="0"/>
    </xf>
    <xf numFmtId="0" fontId="195" fillId="12" borderId="70" xfId="0" applyFont="1" applyFill="1" applyBorder="1" applyAlignment="1" applyProtection="1">
      <alignment horizontal="center" wrapText="1"/>
      <protection locked="0"/>
    </xf>
    <xf numFmtId="0" fontId="197" fillId="10" borderId="26" xfId="0" applyFont="1" applyFill="1" applyBorder="1" applyAlignment="1" applyProtection="1">
      <alignment horizontal="center" vertical="center" wrapText="1"/>
      <protection locked="0"/>
    </xf>
    <xf numFmtId="0" fontId="197" fillId="10" borderId="22" xfId="0" applyFont="1" applyFill="1" applyBorder="1" applyAlignment="1" applyProtection="1">
      <alignment horizontal="center" vertical="center" wrapText="1"/>
      <protection locked="0"/>
    </xf>
    <xf numFmtId="0" fontId="199" fillId="10" borderId="66" xfId="0" applyFont="1" applyFill="1" applyBorder="1" applyAlignment="1" applyProtection="1">
      <alignment horizontal="center" wrapText="1"/>
      <protection locked="0"/>
    </xf>
    <xf numFmtId="0" fontId="199" fillId="10" borderId="46" xfId="0" applyFont="1" applyFill="1" applyBorder="1" applyAlignment="1" applyProtection="1">
      <alignment horizontal="center" wrapText="1"/>
      <protection locked="0"/>
    </xf>
    <xf numFmtId="0" fontId="195" fillId="0" borderId="24" xfId="0" applyFont="1" applyBorder="1" applyAlignment="1" applyProtection="1">
      <alignment horizontal="center" vertical="center" wrapText="1"/>
      <protection locked="0"/>
    </xf>
    <xf numFmtId="0" fontId="195" fillId="0" borderId="20" xfId="0" applyFont="1" applyBorder="1" applyAlignment="1" applyProtection="1">
      <alignment horizontal="center" vertical="center" wrapText="1"/>
      <protection locked="0"/>
    </xf>
    <xf numFmtId="0" fontId="195" fillId="0" borderId="24" xfId="0" applyFont="1" applyBorder="1" applyAlignment="1" applyProtection="1">
      <alignment horizontal="center" wrapText="1"/>
      <protection locked="0"/>
    </xf>
    <xf numFmtId="0" fontId="195" fillId="0" borderId="20" xfId="0" applyFont="1" applyBorder="1" applyAlignment="1" applyProtection="1">
      <alignment horizontal="center" wrapText="1"/>
      <protection locked="0"/>
    </xf>
    <xf numFmtId="0" fontId="195" fillId="10" borderId="26" xfId="0" applyFont="1" applyFill="1" applyBorder="1" applyAlignment="1">
      <alignment horizontal="center" wrapText="1"/>
    </xf>
    <xf numFmtId="0" fontId="195" fillId="10" borderId="22" xfId="0" applyFont="1" applyFill="1" applyBorder="1" applyAlignment="1">
      <alignment horizontal="center" wrapText="1"/>
    </xf>
    <xf numFmtId="0" fontId="195" fillId="0" borderId="37" xfId="0" applyFont="1" applyBorder="1" applyAlignment="1" applyProtection="1">
      <alignment horizontal="center" wrapText="1"/>
      <protection locked="0"/>
    </xf>
    <xf numFmtId="0" fontId="195" fillId="0" borderId="65" xfId="0" applyFont="1" applyBorder="1" applyAlignment="1" applyProtection="1">
      <alignment horizontal="center" wrapText="1"/>
      <protection locked="0"/>
    </xf>
    <xf numFmtId="0" fontId="209" fillId="0" borderId="26" xfId="0" applyFont="1" applyBorder="1" applyAlignment="1" applyProtection="1">
      <alignment horizontal="center" vertical="top" wrapText="1"/>
      <protection locked="0"/>
    </xf>
    <xf numFmtId="0" fontId="209" fillId="0" borderId="22" xfId="0" applyFont="1" applyBorder="1" applyAlignment="1" applyProtection="1">
      <alignment horizontal="center" vertical="top" wrapText="1"/>
      <protection locked="0"/>
    </xf>
    <xf numFmtId="0" fontId="209" fillId="0" borderId="24" xfId="0" applyFont="1" applyBorder="1" applyAlignment="1" applyProtection="1">
      <alignment horizontal="center" vertical="top" wrapText="1"/>
      <protection locked="0"/>
    </xf>
    <xf numFmtId="0" fontId="209" fillId="0" borderId="20" xfId="0" applyFont="1" applyBorder="1" applyAlignment="1" applyProtection="1">
      <alignment horizontal="center" vertical="top" wrapText="1"/>
      <protection locked="0"/>
    </xf>
    <xf numFmtId="0" fontId="195" fillId="0" borderId="31" xfId="0" applyFont="1" applyBorder="1" applyAlignment="1" applyProtection="1">
      <alignment horizontal="left" wrapText="1"/>
      <protection locked="0"/>
    </xf>
    <xf numFmtId="0" fontId="195" fillId="0" borderId="67" xfId="0" applyFont="1" applyBorder="1" applyAlignment="1" applyProtection="1">
      <alignment horizontal="left" wrapText="1"/>
      <protection locked="0"/>
    </xf>
    <xf numFmtId="0" fontId="52" fillId="0" borderId="0" xfId="0" applyFont="1" applyAlignment="1">
      <alignment horizontal="center" wrapText="1"/>
    </xf>
    <xf numFmtId="0" fontId="171" fillId="10" borderId="73" xfId="0" applyFont="1" applyFill="1" applyBorder="1" applyAlignment="1">
      <alignment horizontal="center" vertical="center" wrapText="1"/>
    </xf>
    <xf numFmtId="0" fontId="171" fillId="10" borderId="67" xfId="0" applyFont="1" applyFill="1" applyBorder="1" applyAlignment="1">
      <alignment horizontal="center" vertical="center" wrapText="1"/>
    </xf>
    <xf numFmtId="0" fontId="171" fillId="10" borderId="70" xfId="0" applyFont="1" applyFill="1" applyBorder="1" applyAlignment="1">
      <alignment horizontal="center" vertical="center" wrapText="1"/>
    </xf>
    <xf numFmtId="180" fontId="195" fillId="0" borderId="24" xfId="0" applyNumberFormat="1" applyFont="1" applyBorder="1" applyAlignment="1" applyProtection="1">
      <alignment horizontal="center" wrapText="1"/>
      <protection locked="0"/>
    </xf>
    <xf numFmtId="180" fontId="195" fillId="0" borderId="31" xfId="0" applyNumberFormat="1" applyFont="1" applyBorder="1" applyAlignment="1" applyProtection="1">
      <alignment horizontal="center" wrapText="1"/>
      <protection locked="0"/>
    </xf>
    <xf numFmtId="0" fontId="227" fillId="12" borderId="45" xfId="0" applyFont="1" applyFill="1" applyBorder="1" applyAlignment="1" applyProtection="1">
      <alignment horizontal="left" vertical="center" wrapText="1"/>
      <protection locked="0"/>
    </xf>
    <xf numFmtId="0" fontId="227" fillId="12" borderId="0" xfId="0" applyFont="1" applyFill="1" applyAlignment="1" applyProtection="1">
      <alignment horizontal="left" vertical="center" wrapText="1"/>
      <protection locked="0"/>
    </xf>
    <xf numFmtId="0" fontId="62" fillId="0" borderId="45" xfId="0" applyFont="1" applyBorder="1" applyAlignment="1" applyProtection="1">
      <alignment horizontal="center" vertical="top" wrapText="1"/>
      <protection locked="0"/>
    </xf>
    <xf numFmtId="0" fontId="62" fillId="0" borderId="0" xfId="0" applyFont="1" applyAlignment="1" applyProtection="1">
      <alignment horizontal="center" vertical="top" wrapText="1"/>
      <protection locked="0"/>
    </xf>
    <xf numFmtId="0" fontId="62" fillId="0" borderId="47" xfId="0" applyFont="1" applyBorder="1" applyAlignment="1" applyProtection="1">
      <alignment horizontal="center" vertical="top" wrapText="1"/>
      <protection locked="0"/>
    </xf>
    <xf numFmtId="0" fontId="62" fillId="0" borderId="58" xfId="0" applyFont="1" applyBorder="1" applyAlignment="1" applyProtection="1">
      <alignment horizontal="center" vertical="top" wrapText="1"/>
      <protection locked="0"/>
    </xf>
    <xf numFmtId="0" fontId="62" fillId="0" borderId="59" xfId="0" applyFont="1" applyBorder="1" applyAlignment="1" applyProtection="1">
      <alignment horizontal="center" vertical="top" wrapText="1"/>
      <protection locked="0"/>
    </xf>
    <xf numFmtId="0" fontId="62" fillId="0" borderId="60" xfId="0" applyFont="1" applyBorder="1" applyAlignment="1" applyProtection="1">
      <alignment horizontal="center" vertical="top" wrapText="1"/>
      <protection locked="0"/>
    </xf>
    <xf numFmtId="0" fontId="200" fillId="0" borderId="49" xfId="0" applyFont="1" applyBorder="1" applyAlignment="1" applyProtection="1">
      <alignment horizontal="center" vertical="top" wrapText="1"/>
      <protection locked="0"/>
    </xf>
    <xf numFmtId="0" fontId="200" fillId="0" borderId="50" xfId="0" applyFont="1" applyBorder="1" applyAlignment="1" applyProtection="1">
      <alignment horizontal="center" vertical="top" wrapText="1"/>
      <protection locked="0"/>
    </xf>
    <xf numFmtId="0" fontId="200" fillId="0" borderId="46" xfId="0" applyFont="1" applyBorder="1" applyAlignment="1" applyProtection="1">
      <alignment horizontal="center" vertical="top" wrapText="1"/>
      <protection locked="0"/>
    </xf>
    <xf numFmtId="0" fontId="200" fillId="0" borderId="45" xfId="0" applyFont="1" applyBorder="1" applyAlignment="1" applyProtection="1">
      <alignment horizontal="center" vertical="top" wrapText="1"/>
      <protection locked="0"/>
    </xf>
    <xf numFmtId="0" fontId="200" fillId="0" borderId="0" xfId="0" applyFont="1" applyAlignment="1" applyProtection="1">
      <alignment horizontal="center" vertical="top" wrapText="1"/>
      <protection locked="0"/>
    </xf>
    <xf numFmtId="0" fontId="200" fillId="0" borderId="47" xfId="0" applyFont="1" applyBorder="1" applyAlignment="1" applyProtection="1">
      <alignment horizontal="center" vertical="top" wrapText="1"/>
      <protection locked="0"/>
    </xf>
    <xf numFmtId="0" fontId="0" fillId="0" borderId="37"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26" xfId="0" applyBorder="1" applyAlignment="1" applyProtection="1">
      <alignment horizontal="center" vertical="top" wrapText="1"/>
      <protection locked="0"/>
    </xf>
    <xf numFmtId="0" fontId="0" fillId="0" borderId="22" xfId="0"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0" fillId="0" borderId="21" xfId="0" applyBorder="1" applyAlignment="1" applyProtection="1">
      <alignment horizontal="center" vertical="top" wrapText="1"/>
      <protection locked="0"/>
    </xf>
    <xf numFmtId="0" fontId="170" fillId="0" borderId="24" xfId="0" applyFont="1" applyBorder="1" applyAlignment="1" applyProtection="1">
      <alignment horizontal="left" vertical="center" wrapText="1"/>
      <protection locked="0"/>
    </xf>
    <xf numFmtId="0" fontId="170" fillId="0" borderId="27" xfId="0" applyFont="1" applyBorder="1" applyAlignment="1" applyProtection="1">
      <alignment horizontal="left" vertical="center" wrapText="1"/>
      <protection locked="0"/>
    </xf>
    <xf numFmtId="0" fontId="227" fillId="22" borderId="24" xfId="0" applyFont="1" applyFill="1" applyBorder="1" applyAlignment="1" applyProtection="1">
      <alignment horizontal="left" vertical="center" wrapText="1"/>
      <protection locked="0"/>
    </xf>
    <xf numFmtId="0" fontId="227" fillId="22" borderId="20" xfId="0" applyFont="1" applyFill="1" applyBorder="1" applyAlignment="1" applyProtection="1">
      <alignment horizontal="left" vertical="center" wrapText="1"/>
      <protection locked="0"/>
    </xf>
    <xf numFmtId="0" fontId="227" fillId="22" borderId="27" xfId="0" applyFont="1" applyFill="1" applyBorder="1" applyAlignment="1" applyProtection="1">
      <alignment horizontal="left" vertical="center" wrapText="1"/>
      <protection locked="0"/>
    </xf>
    <xf numFmtId="0" fontId="227" fillId="22" borderId="21" xfId="0" applyFont="1" applyFill="1" applyBorder="1" applyAlignment="1" applyProtection="1">
      <alignment horizontal="left" vertical="center" wrapText="1"/>
      <protection locked="0"/>
    </xf>
    <xf numFmtId="0" fontId="170" fillId="0" borderId="26" xfId="0" applyFont="1" applyBorder="1" applyAlignment="1">
      <alignment horizontal="left" vertical="center" wrapText="1"/>
    </xf>
    <xf numFmtId="0" fontId="181" fillId="25" borderId="26" xfId="0" applyFont="1" applyFill="1" applyBorder="1" applyAlignment="1" applyProtection="1">
      <alignment horizontal="center" wrapText="1"/>
      <protection locked="0"/>
    </xf>
    <xf numFmtId="0" fontId="201" fillId="0" borderId="45" xfId="0" applyFont="1" applyBorder="1" applyAlignment="1">
      <alignment horizontal="left" wrapText="1"/>
    </xf>
    <xf numFmtId="0" fontId="192" fillId="0" borderId="47" xfId="0" applyFont="1" applyBorder="1" applyAlignment="1">
      <alignment horizontal="left" wrapText="1"/>
    </xf>
    <xf numFmtId="0" fontId="201" fillId="0" borderId="0" xfId="0" applyFont="1" applyAlignment="1">
      <alignment horizontal="left" wrapText="1"/>
    </xf>
    <xf numFmtId="0" fontId="145" fillId="22" borderId="24" xfId="0" applyFont="1" applyFill="1" applyBorder="1" applyAlignment="1" applyProtection="1">
      <alignment horizontal="left" vertical="center" wrapText="1"/>
      <protection locked="0"/>
    </xf>
    <xf numFmtId="0" fontId="145" fillId="22" borderId="20" xfId="0" applyFont="1" applyFill="1" applyBorder="1" applyAlignment="1" applyProtection="1">
      <alignment horizontal="left" vertical="center" wrapText="1"/>
      <protection locked="0"/>
    </xf>
    <xf numFmtId="0" fontId="0" fillId="0" borderId="0" xfId="0" applyAlignment="1" applyProtection="1">
      <alignment horizontal="center" wrapText="1"/>
      <protection locked="0"/>
    </xf>
    <xf numFmtId="0" fontId="0" fillId="0" borderId="59" xfId="0" applyBorder="1" applyAlignment="1" applyProtection="1">
      <alignment horizontal="center" wrapText="1"/>
      <protection locked="0"/>
    </xf>
    <xf numFmtId="0" fontId="195" fillId="0" borderId="39" xfId="0" applyFont="1" applyBorder="1" applyAlignment="1" applyProtection="1">
      <alignment horizontal="left" vertical="center" wrapText="1"/>
      <protection locked="0"/>
    </xf>
    <xf numFmtId="0" fontId="195" fillId="0" borderId="63" xfId="0" applyFont="1" applyBorder="1" applyAlignment="1" applyProtection="1">
      <alignment horizontal="left" vertical="center" wrapText="1"/>
      <protection locked="0"/>
    </xf>
    <xf numFmtId="0" fontId="195" fillId="0" borderId="29" xfId="0" applyFont="1" applyBorder="1" applyAlignment="1" applyProtection="1">
      <alignment horizontal="left" vertical="center" wrapText="1"/>
      <protection locked="0"/>
    </xf>
    <xf numFmtId="0" fontId="195" fillId="0" borderId="0" xfId="0" applyFont="1" applyAlignment="1" applyProtection="1">
      <alignment horizontal="left" vertical="center" wrapText="1"/>
      <protection locked="0"/>
    </xf>
    <xf numFmtId="0" fontId="195" fillId="0" borderId="47" xfId="0" applyFont="1" applyBorder="1" applyAlignment="1" applyProtection="1">
      <alignment horizontal="left" vertical="center" wrapText="1"/>
      <protection locked="0"/>
    </xf>
    <xf numFmtId="0" fontId="73" fillId="0" borderId="29" xfId="0" applyFont="1" applyBorder="1" applyAlignment="1" applyProtection="1">
      <alignment horizontal="center" vertical="top" wrapText="1"/>
      <protection locked="0"/>
    </xf>
    <xf numFmtId="0" fontId="73" fillId="0" borderId="0" xfId="0" applyFont="1" applyAlignment="1" applyProtection="1">
      <alignment horizontal="center" vertical="top" wrapText="1"/>
      <protection locked="0"/>
    </xf>
    <xf numFmtId="0" fontId="73" fillId="0" borderId="47" xfId="0" applyFont="1" applyBorder="1" applyAlignment="1" applyProtection="1">
      <alignment horizontal="center" vertical="top" wrapText="1"/>
      <protection locked="0"/>
    </xf>
    <xf numFmtId="0" fontId="73" fillId="0" borderId="64" xfId="0" applyFont="1" applyBorder="1" applyAlignment="1" applyProtection="1">
      <alignment horizontal="center" vertical="top" wrapText="1"/>
      <protection locked="0"/>
    </xf>
    <xf numFmtId="0" fontId="73" fillId="0" borderId="59" xfId="0" applyFont="1" applyBorder="1" applyAlignment="1" applyProtection="1">
      <alignment horizontal="center" vertical="top" wrapText="1"/>
      <protection locked="0"/>
    </xf>
    <xf numFmtId="0" fontId="73" fillId="0" borderId="60" xfId="0" applyFont="1" applyBorder="1" applyAlignment="1" applyProtection="1">
      <alignment horizontal="center" vertical="top" wrapText="1"/>
      <protection locked="0"/>
    </xf>
    <xf numFmtId="49" fontId="227" fillId="0" borderId="36" xfId="0" applyNumberFormat="1" applyFont="1" applyBorder="1" applyAlignment="1" applyProtection="1">
      <alignment horizontal="left" vertical="center" wrapText="1"/>
      <protection locked="0"/>
    </xf>
    <xf numFmtId="49" fontId="227" fillId="0" borderId="86" xfId="0" applyNumberFormat="1" applyFont="1" applyBorder="1" applyAlignment="1" applyProtection="1">
      <alignment horizontal="left" vertical="center" wrapText="1"/>
      <protection locked="0"/>
    </xf>
    <xf numFmtId="49" fontId="227" fillId="0" borderId="68" xfId="0" applyNumberFormat="1" applyFont="1" applyBorder="1" applyAlignment="1" applyProtection="1">
      <alignment horizontal="left" vertical="center" wrapText="1"/>
      <protection locked="0"/>
    </xf>
    <xf numFmtId="0" fontId="145" fillId="22" borderId="26" xfId="0" applyFont="1" applyFill="1" applyBorder="1" applyAlignment="1" applyProtection="1">
      <alignment horizontal="left" vertical="center" wrapText="1"/>
      <protection locked="0"/>
    </xf>
    <xf numFmtId="0" fontId="145" fillId="22" borderId="22" xfId="0" applyFont="1" applyFill="1" applyBorder="1" applyAlignment="1" applyProtection="1">
      <alignment horizontal="left" vertical="center" wrapText="1"/>
      <protection locked="0"/>
    </xf>
    <xf numFmtId="3" fontId="202" fillId="10" borderId="24" xfId="0" applyNumberFormat="1" applyFont="1" applyFill="1" applyBorder="1" applyAlignment="1" applyProtection="1">
      <alignment horizontal="center" wrapText="1"/>
      <protection locked="0"/>
    </xf>
    <xf numFmtId="0" fontId="181" fillId="25" borderId="24" xfId="0" applyFont="1" applyFill="1" applyBorder="1" applyAlignment="1" applyProtection="1">
      <alignment horizontal="center" wrapText="1"/>
      <protection locked="0"/>
    </xf>
    <xf numFmtId="0" fontId="181" fillId="25" borderId="20" xfId="0" applyFont="1" applyFill="1" applyBorder="1" applyAlignment="1" applyProtection="1">
      <alignment horizontal="center" wrapText="1"/>
      <protection locked="0"/>
    </xf>
    <xf numFmtId="0" fontId="195" fillId="10" borderId="24" xfId="0" applyFont="1" applyFill="1" applyBorder="1" applyAlignment="1" applyProtection="1">
      <alignment horizontal="center" wrapText="1"/>
      <protection locked="0"/>
    </xf>
    <xf numFmtId="0" fontId="171" fillId="0" borderId="50" xfId="0" applyFont="1" applyBorder="1" applyAlignment="1">
      <alignment horizontal="center" vertical="top" wrapText="1"/>
    </xf>
    <xf numFmtId="0" fontId="171" fillId="0" borderId="46" xfId="0" applyFont="1" applyBorder="1" applyAlignment="1">
      <alignment horizontal="center" vertical="top" wrapText="1"/>
    </xf>
    <xf numFmtId="0" fontId="171" fillId="0" borderId="0" xfId="0" applyFont="1" applyAlignment="1">
      <alignment horizontal="center" vertical="top" wrapText="1"/>
    </xf>
    <xf numFmtId="0" fontId="171" fillId="0" borderId="47" xfId="0" applyFont="1" applyBorder="1" applyAlignment="1">
      <alignment horizontal="center" vertical="top" wrapText="1"/>
    </xf>
    <xf numFmtId="0" fontId="171" fillId="0" borderId="59" xfId="0" applyFont="1" applyBorder="1" applyAlignment="1">
      <alignment horizontal="center" vertical="top" wrapText="1"/>
    </xf>
    <xf numFmtId="0" fontId="171" fillId="0" borderId="60" xfId="0" applyFont="1" applyBorder="1" applyAlignment="1">
      <alignment horizontal="center" vertical="top" wrapText="1"/>
    </xf>
    <xf numFmtId="0" fontId="6" fillId="0" borderId="23" xfId="0" applyFont="1" applyBorder="1" applyAlignment="1" applyProtection="1">
      <alignment horizontal="center" wrapText="1"/>
      <protection locked="0"/>
    </xf>
    <xf numFmtId="0" fontId="6" fillId="0" borderId="21" xfId="0" applyFont="1" applyBorder="1" applyAlignment="1" applyProtection="1">
      <alignment horizontal="center" wrapText="1"/>
      <protection locked="0"/>
    </xf>
    <xf numFmtId="0" fontId="194" fillId="0" borderId="20" xfId="0" applyFont="1" applyBorder="1" applyAlignment="1" applyProtection="1">
      <alignment horizontal="center" vertical="center" wrapText="1"/>
      <protection locked="0"/>
    </xf>
    <xf numFmtId="0" fontId="194" fillId="0" borderId="21" xfId="0" applyFont="1" applyBorder="1" applyAlignment="1" applyProtection="1">
      <alignment horizontal="center" vertical="center" wrapText="1"/>
      <protection locked="0"/>
    </xf>
    <xf numFmtId="0" fontId="169" fillId="10" borderId="32" xfId="0" applyFont="1" applyFill="1" applyBorder="1" applyAlignment="1">
      <alignment horizontal="left" vertical="center" wrapText="1"/>
    </xf>
    <xf numFmtId="0" fontId="169" fillId="10" borderId="74" xfId="0" applyFont="1" applyFill="1" applyBorder="1" applyAlignment="1">
      <alignment horizontal="left" vertical="center" wrapText="1"/>
    </xf>
    <xf numFmtId="0" fontId="169" fillId="10" borderId="33" xfId="0" applyFont="1" applyFill="1" applyBorder="1" applyAlignment="1">
      <alignment horizontal="left" vertical="center" wrapText="1"/>
    </xf>
    <xf numFmtId="0" fontId="169" fillId="12" borderId="32" xfId="0" applyFont="1" applyFill="1" applyBorder="1" applyAlignment="1" applyProtection="1">
      <alignment horizontal="left" vertical="center" wrapText="1"/>
      <protection locked="0"/>
    </xf>
    <xf numFmtId="0" fontId="169" fillId="12" borderId="74" xfId="0" applyFont="1" applyFill="1" applyBorder="1" applyAlignment="1" applyProtection="1">
      <alignment horizontal="left" vertical="center" wrapText="1"/>
      <protection locked="0"/>
    </xf>
    <xf numFmtId="0" fontId="169" fillId="12" borderId="33" xfId="0" applyFont="1" applyFill="1" applyBorder="1" applyAlignment="1" applyProtection="1">
      <alignment horizontal="left" vertical="center" wrapText="1"/>
      <protection locked="0"/>
    </xf>
    <xf numFmtId="0" fontId="169" fillId="12" borderId="105" xfId="0" applyFont="1" applyFill="1" applyBorder="1" applyAlignment="1" applyProtection="1">
      <alignment horizontal="left" vertical="center" wrapText="1"/>
      <protection locked="0"/>
    </xf>
    <xf numFmtId="0" fontId="194" fillId="0" borderId="42" xfId="0" applyFont="1" applyBorder="1" applyAlignment="1" applyProtection="1">
      <alignment horizontal="center" vertical="center" wrapText="1"/>
      <protection locked="0"/>
    </xf>
    <xf numFmtId="0" fontId="194" fillId="0" borderId="75" xfId="0" applyFont="1" applyBorder="1" applyAlignment="1" applyProtection="1">
      <alignment horizontal="center" vertical="center" wrapText="1"/>
      <protection locked="0"/>
    </xf>
    <xf numFmtId="0" fontId="194" fillId="0" borderId="91" xfId="0" applyFont="1" applyBorder="1" applyAlignment="1" applyProtection="1">
      <alignment horizontal="center" vertical="center" wrapText="1"/>
      <protection locked="0"/>
    </xf>
    <xf numFmtId="0" fontId="195" fillId="10" borderId="54" xfId="0" applyFont="1" applyFill="1" applyBorder="1" applyAlignment="1">
      <alignment horizontal="left" wrapText="1"/>
    </xf>
    <xf numFmtId="0" fontId="195" fillId="10" borderId="55" xfId="0" applyFont="1" applyFill="1" applyBorder="1" applyAlignment="1">
      <alignment horizontal="left" wrapText="1"/>
    </xf>
    <xf numFmtId="0" fontId="195" fillId="10" borderId="44" xfId="0" applyFont="1" applyFill="1" applyBorder="1" applyAlignment="1">
      <alignment horizontal="left" wrapText="1"/>
    </xf>
    <xf numFmtId="0" fontId="195" fillId="10" borderId="86" xfId="0" applyFont="1" applyFill="1" applyBorder="1" applyAlignment="1">
      <alignment horizontal="left" wrapText="1"/>
    </xf>
    <xf numFmtId="0" fontId="195" fillId="10" borderId="92" xfId="0" applyFont="1" applyFill="1" applyBorder="1" applyAlignment="1">
      <alignment horizontal="left" wrapText="1"/>
    </xf>
    <xf numFmtId="0" fontId="67" fillId="12" borderId="26" xfId="0" applyFont="1" applyFill="1" applyBorder="1" applyAlignment="1">
      <alignment horizontal="left" vertical="center" wrapText="1"/>
    </xf>
    <xf numFmtId="0" fontId="67" fillId="12" borderId="22" xfId="0" applyFont="1" applyFill="1" applyBorder="1" applyAlignment="1">
      <alignment horizontal="left" vertical="center" wrapText="1"/>
    </xf>
    <xf numFmtId="0" fontId="67" fillId="12" borderId="38" xfId="0" applyFont="1" applyFill="1" applyBorder="1" applyAlignment="1">
      <alignment horizontal="left" vertical="center" wrapText="1"/>
    </xf>
    <xf numFmtId="0" fontId="67" fillId="12" borderId="61" xfId="0" applyFont="1" applyFill="1" applyBorder="1" applyAlignment="1">
      <alignment horizontal="left" vertical="center" wrapText="1"/>
    </xf>
    <xf numFmtId="0" fontId="67" fillId="12" borderId="115" xfId="0" applyFont="1" applyFill="1" applyBorder="1" applyAlignment="1">
      <alignment horizontal="left" vertical="center" wrapText="1"/>
    </xf>
    <xf numFmtId="0" fontId="195" fillId="12" borderId="20" xfId="0" applyFont="1" applyFill="1" applyBorder="1" applyAlignment="1" applyProtection="1">
      <alignment horizontal="center" wrapText="1"/>
      <protection locked="0"/>
    </xf>
    <xf numFmtId="0" fontId="167" fillId="0" borderId="59" xfId="0" applyFont="1" applyBorder="1" applyAlignment="1">
      <alignment horizontal="left" wrapText="1"/>
    </xf>
    <xf numFmtId="0" fontId="36" fillId="0" borderId="59" xfId="0" applyFont="1" applyBorder="1" applyAlignment="1" applyProtection="1">
      <alignment horizontal="center" wrapText="1"/>
      <protection locked="0"/>
    </xf>
    <xf numFmtId="0" fontId="171" fillId="0" borderId="58" xfId="0" applyFont="1" applyBorder="1" applyAlignment="1" applyProtection="1">
      <alignment horizontal="left" vertical="center" wrapText="1"/>
      <protection locked="0"/>
    </xf>
    <xf numFmtId="0" fontId="171" fillId="0" borderId="59" xfId="0" applyFont="1" applyBorder="1" applyAlignment="1" applyProtection="1">
      <alignment horizontal="left" vertical="center" wrapText="1"/>
      <protection locked="0"/>
    </xf>
    <xf numFmtId="0" fontId="171" fillId="0" borderId="60" xfId="0" applyFont="1" applyBorder="1" applyAlignment="1" applyProtection="1">
      <alignment horizontal="left" vertical="center" wrapText="1"/>
      <protection locked="0"/>
    </xf>
    <xf numFmtId="0" fontId="0" fillId="0" borderId="0" xfId="0" applyAlignment="1" applyProtection="1">
      <alignment horizontal="left" wrapText="1"/>
      <protection locked="0"/>
    </xf>
    <xf numFmtId="0" fontId="203" fillId="0" borderId="73" xfId="0" applyFont="1" applyBorder="1" applyAlignment="1" applyProtection="1">
      <alignment horizontal="left" vertical="center" wrapText="1"/>
      <protection locked="0"/>
    </xf>
    <xf numFmtId="0" fontId="203" fillId="0" borderId="67" xfId="0" applyFont="1" applyBorder="1" applyAlignment="1" applyProtection="1">
      <alignment horizontal="left" vertical="center" wrapText="1"/>
      <protection locked="0"/>
    </xf>
    <xf numFmtId="0" fontId="203" fillId="0" borderId="79" xfId="0" applyFont="1" applyBorder="1" applyAlignment="1" applyProtection="1">
      <alignment horizontal="left" vertical="center" wrapText="1"/>
      <protection locked="0"/>
    </xf>
    <xf numFmtId="0" fontId="203" fillId="0" borderId="98" xfId="0" applyFont="1" applyBorder="1" applyAlignment="1" applyProtection="1">
      <alignment horizontal="left" vertical="center" wrapText="1"/>
      <protection locked="0"/>
    </xf>
    <xf numFmtId="0" fontId="203" fillId="0" borderId="65" xfId="0" applyFont="1" applyBorder="1" applyAlignment="1" applyProtection="1">
      <alignment horizontal="left" vertical="center" wrapText="1"/>
      <protection locked="0"/>
    </xf>
    <xf numFmtId="0" fontId="203" fillId="0" borderId="87" xfId="0" applyFont="1" applyBorder="1" applyAlignment="1" applyProtection="1">
      <alignment horizontal="left" vertical="center" wrapText="1"/>
      <protection locked="0"/>
    </xf>
    <xf numFmtId="0" fontId="203" fillId="0" borderId="44" xfId="0" applyFont="1" applyBorder="1" applyAlignment="1" applyProtection="1">
      <alignment horizontal="left" vertical="center" wrapText="1"/>
      <protection locked="0"/>
    </xf>
    <xf numFmtId="0" fontId="203" fillId="0" borderId="86" xfId="0" applyFont="1" applyBorder="1" applyAlignment="1" applyProtection="1">
      <alignment horizontal="left" vertical="center" wrapText="1"/>
      <protection locked="0"/>
    </xf>
    <xf numFmtId="0" fontId="203" fillId="0" borderId="68" xfId="0" applyFont="1" applyBorder="1" applyAlignment="1" applyProtection="1">
      <alignment horizontal="left" vertical="center" wrapText="1"/>
      <protection locked="0"/>
    </xf>
    <xf numFmtId="0" fontId="183" fillId="21" borderId="41" xfId="0" applyFont="1" applyFill="1" applyBorder="1" applyAlignment="1" applyProtection="1">
      <alignment horizontal="center" wrapText="1"/>
      <protection locked="0"/>
    </xf>
    <xf numFmtId="0" fontId="183" fillId="21" borderId="57" xfId="0" applyFont="1" applyFill="1" applyBorder="1" applyAlignment="1" applyProtection="1">
      <alignment horizontal="center" wrapText="1"/>
      <protection locked="0"/>
    </xf>
    <xf numFmtId="0" fontId="195" fillId="10" borderId="49" xfId="0" applyFont="1" applyFill="1" applyBorder="1" applyAlignment="1">
      <alignment horizontal="center" wrapText="1"/>
    </xf>
    <xf numFmtId="0" fontId="195" fillId="10" borderId="50" xfId="0" applyFont="1" applyFill="1" applyBorder="1" applyAlignment="1">
      <alignment horizontal="center" wrapText="1"/>
    </xf>
    <xf numFmtId="0" fontId="195" fillId="10" borderId="46" xfId="0" applyFont="1" applyFill="1" applyBorder="1" applyAlignment="1">
      <alignment horizontal="center" wrapText="1"/>
    </xf>
    <xf numFmtId="49" fontId="194" fillId="10" borderId="43" xfId="0" applyNumberFormat="1" applyFont="1" applyFill="1" applyBorder="1" applyAlignment="1">
      <alignment horizontal="center" wrapText="1"/>
    </xf>
    <xf numFmtId="49" fontId="194" fillId="10" borderId="41" xfId="0" applyNumberFormat="1" applyFont="1" applyFill="1" applyBorder="1" applyAlignment="1">
      <alignment horizontal="center" wrapText="1"/>
    </xf>
    <xf numFmtId="3" fontId="195" fillId="10" borderId="31" xfId="0" applyNumberFormat="1" applyFont="1" applyFill="1" applyBorder="1" applyAlignment="1" applyProtection="1">
      <alignment horizontal="center" wrapText="1"/>
      <protection locked="0"/>
    </xf>
    <xf numFmtId="0" fontId="195" fillId="10" borderId="70" xfId="0" applyFont="1" applyFill="1" applyBorder="1" applyAlignment="1" applyProtection="1">
      <alignment horizontal="center" wrapText="1"/>
      <protection locked="0"/>
    </xf>
    <xf numFmtId="0" fontId="206" fillId="0" borderId="49" xfId="0" applyFont="1" applyBorder="1" applyAlignment="1">
      <alignment vertical="center" wrapText="1"/>
    </xf>
    <xf numFmtId="0" fontId="195" fillId="0" borderId="46" xfId="0" applyFont="1" applyBorder="1" applyAlignment="1">
      <alignment vertical="center" wrapText="1"/>
    </xf>
    <xf numFmtId="0" fontId="195" fillId="0" borderId="117" xfId="0" applyFont="1" applyBorder="1" applyAlignment="1">
      <alignment vertical="center" wrapText="1"/>
    </xf>
    <xf numFmtId="0" fontId="195" fillId="0" borderId="115" xfId="0" applyFont="1" applyBorder="1" applyAlignment="1">
      <alignment vertical="center" wrapText="1"/>
    </xf>
    <xf numFmtId="0" fontId="165" fillId="0" borderId="49" xfId="0" applyFont="1" applyBorder="1" applyAlignment="1">
      <alignment horizontal="left" vertical="center" wrapText="1"/>
    </xf>
    <xf numFmtId="0" fontId="165" fillId="0" borderId="46" xfId="0" applyFont="1" applyBorder="1" applyAlignment="1">
      <alignment horizontal="left" vertical="center" wrapText="1"/>
    </xf>
    <xf numFmtId="0" fontId="165" fillId="0" borderId="117" xfId="0" applyFont="1" applyBorder="1" applyAlignment="1">
      <alignment horizontal="left" vertical="center" wrapText="1"/>
    </xf>
    <xf numFmtId="0" fontId="165" fillId="0" borderId="115" xfId="0" applyFont="1" applyBorder="1" applyAlignment="1">
      <alignment horizontal="left" vertical="center" wrapText="1"/>
    </xf>
    <xf numFmtId="0" fontId="206" fillId="0" borderId="49" xfId="0" applyFont="1" applyBorder="1" applyAlignment="1">
      <alignment horizontal="left" vertical="center"/>
    </xf>
    <xf numFmtId="0" fontId="206" fillId="0" borderId="46" xfId="0" applyFont="1" applyBorder="1" applyAlignment="1">
      <alignment horizontal="left" vertical="center"/>
    </xf>
    <xf numFmtId="0" fontId="206" fillId="0" borderId="117" xfId="0" applyFont="1" applyBorder="1" applyAlignment="1">
      <alignment horizontal="left" vertical="center"/>
    </xf>
    <xf numFmtId="0" fontId="206" fillId="0" borderId="115" xfId="0" applyFont="1" applyBorder="1" applyAlignment="1">
      <alignment horizontal="left" vertical="center"/>
    </xf>
    <xf numFmtId="0" fontId="165" fillId="0" borderId="49" xfId="0" applyFont="1" applyBorder="1" applyAlignment="1">
      <alignment horizontal="left" vertical="center"/>
    </xf>
    <xf numFmtId="0" fontId="165" fillId="0" borderId="46" xfId="0" applyFont="1" applyBorder="1" applyAlignment="1">
      <alignment horizontal="left" vertical="center"/>
    </xf>
    <xf numFmtId="0" fontId="165" fillId="0" borderId="117" xfId="0" applyFont="1" applyBorder="1" applyAlignment="1">
      <alignment horizontal="left" vertical="center"/>
    </xf>
    <xf numFmtId="0" fontId="165" fillId="0" borderId="115" xfId="0" applyFont="1" applyBorder="1" applyAlignment="1">
      <alignment horizontal="left" vertical="center"/>
    </xf>
    <xf numFmtId="0" fontId="164" fillId="0" borderId="49" xfId="2" applyFont="1" applyBorder="1" applyAlignment="1">
      <alignment horizontal="left"/>
    </xf>
    <xf numFmtId="0" fontId="164" fillId="0" borderId="46" xfId="2" applyFont="1" applyBorder="1" applyAlignment="1">
      <alignment horizontal="left"/>
    </xf>
    <xf numFmtId="0" fontId="61" fillId="0" borderId="71" xfId="2" applyFont="1" applyBorder="1" applyAlignment="1">
      <alignment horizontal="left" wrapText="1"/>
    </xf>
    <xf numFmtId="0" fontId="164" fillId="22" borderId="54" xfId="2" applyFont="1" applyFill="1" applyBorder="1" applyAlignment="1">
      <alignment horizontal="left" wrapText="1"/>
    </xf>
    <xf numFmtId="0" fontId="164" fillId="22" borderId="56" xfId="2" applyFont="1" applyFill="1" applyBorder="1" applyAlignment="1">
      <alignment horizontal="left" wrapText="1"/>
    </xf>
    <xf numFmtId="0" fontId="205" fillId="0" borderId="33" xfId="2" applyFont="1" applyBorder="1" applyAlignment="1">
      <alignment wrapText="1"/>
    </xf>
    <xf numFmtId="0" fontId="205" fillId="0" borderId="91" xfId="2" applyFont="1" applyBorder="1" applyAlignment="1">
      <alignment wrapText="1"/>
    </xf>
    <xf numFmtId="0" fontId="93" fillId="2" borderId="3" xfId="2" applyFont="1" applyFill="1" applyBorder="1" applyAlignment="1">
      <alignment horizontal="center"/>
    </xf>
    <xf numFmtId="0" fontId="91" fillId="2" borderId="3" xfId="0" applyFont="1" applyFill="1" applyBorder="1" applyAlignment="1">
      <alignment horizontal="center" wrapText="1"/>
    </xf>
    <xf numFmtId="0" fontId="108" fillId="2" borderId="3" xfId="2" applyFont="1" applyFill="1" applyBorder="1" applyAlignment="1">
      <alignment horizontal="center"/>
    </xf>
    <xf numFmtId="14" fontId="93" fillId="2" borderId="17" xfId="2" applyNumberFormat="1" applyFont="1" applyFill="1" applyBorder="1" applyAlignment="1">
      <alignment horizontal="center"/>
    </xf>
    <xf numFmtId="14" fontId="93" fillId="2" borderId="3" xfId="2" applyNumberFormat="1" applyFont="1" applyFill="1" applyBorder="1" applyAlignment="1">
      <alignment horizontal="center"/>
    </xf>
    <xf numFmtId="0" fontId="204" fillId="16" borderId="19" xfId="2" applyFont="1" applyFill="1" applyBorder="1" applyAlignment="1">
      <alignment horizontal="left"/>
    </xf>
    <xf numFmtId="0" fontId="204" fillId="16" borderId="22" xfId="2" applyFont="1" applyFill="1" applyBorder="1" applyAlignment="1">
      <alignment horizontal="left"/>
    </xf>
    <xf numFmtId="0" fontId="165" fillId="0" borderId="98" xfId="2" applyFont="1" applyBorder="1" applyAlignment="1">
      <alignment horizontal="left" wrapText="1"/>
    </xf>
    <xf numFmtId="0" fontId="165" fillId="0" borderId="87" xfId="2" applyFont="1" applyBorder="1" applyAlignment="1">
      <alignment horizontal="left" wrapText="1"/>
    </xf>
    <xf numFmtId="0" fontId="204" fillId="17" borderId="0" xfId="2" applyFont="1" applyFill="1" applyAlignment="1">
      <alignment horizontal="left" wrapText="1"/>
    </xf>
    <xf numFmtId="0" fontId="213" fillId="0" borderId="19" xfId="2" applyFont="1" applyBorder="1" applyAlignment="1">
      <alignment wrapText="1"/>
    </xf>
    <xf numFmtId="0" fontId="213" fillId="0" borderId="22" xfId="2" applyFont="1" applyBorder="1" applyAlignment="1">
      <alignment wrapText="1"/>
    </xf>
    <xf numFmtId="0" fontId="95" fillId="2" borderId="99" xfId="2" applyFont="1" applyFill="1" applyBorder="1" applyAlignment="1">
      <alignment horizontal="center"/>
    </xf>
    <xf numFmtId="0" fontId="95" fillId="2" borderId="3" xfId="2" applyFont="1" applyFill="1" applyBorder="1" applyAlignment="1">
      <alignment horizontal="center"/>
    </xf>
    <xf numFmtId="0" fontId="91" fillId="2" borderId="3" xfId="2" applyFont="1" applyFill="1" applyBorder="1" applyAlignment="1">
      <alignment horizontal="center"/>
    </xf>
    <xf numFmtId="0" fontId="101" fillId="2" borderId="3" xfId="2" applyFont="1" applyFill="1" applyBorder="1" applyAlignment="1">
      <alignment horizontal="center"/>
    </xf>
    <xf numFmtId="14" fontId="95" fillId="2" borderId="3" xfId="2" applyNumberFormat="1" applyFont="1" applyFill="1" applyBorder="1" applyAlignment="1">
      <alignment horizontal="center"/>
    </xf>
    <xf numFmtId="0" fontId="204" fillId="16" borderId="19" xfId="2" applyFont="1" applyFill="1" applyBorder="1" applyAlignment="1">
      <alignment horizontal="left" wrapText="1"/>
    </xf>
    <xf numFmtId="0" fontId="204" fillId="16" borderId="22" xfId="2" applyFont="1" applyFill="1" applyBorder="1" applyAlignment="1">
      <alignment horizontal="left" wrapText="1"/>
    </xf>
    <xf numFmtId="0" fontId="204" fillId="0" borderId="71" xfId="2" applyFont="1" applyBorder="1" applyAlignment="1">
      <alignment horizontal="left" wrapText="1"/>
    </xf>
    <xf numFmtId="0" fontId="78" fillId="0" borderId="24" xfId="2" applyFont="1" applyBorder="1" applyAlignment="1">
      <alignment horizontal="center" vertical="center" wrapText="1"/>
    </xf>
    <xf numFmtId="0" fontId="37" fillId="0" borderId="24" xfId="2" applyFont="1" applyBorder="1" applyAlignment="1">
      <alignment horizontal="center" vertical="center" wrapText="1"/>
    </xf>
    <xf numFmtId="0" fontId="5" fillId="0" borderId="24" xfId="2" applyFont="1" applyBorder="1" applyAlignment="1">
      <alignment horizontal="left"/>
    </xf>
    <xf numFmtId="0" fontId="1" fillId="0" borderId="24" xfId="2" applyBorder="1" applyAlignment="1">
      <alignment horizontal="left" wrapText="1"/>
    </xf>
    <xf numFmtId="14" fontId="1" fillId="0" borderId="24" xfId="2" applyNumberFormat="1" applyBorder="1" applyAlignment="1">
      <alignment horizontal="left"/>
    </xf>
    <xf numFmtId="0" fontId="39" fillId="0" borderId="24" xfId="2" applyFont="1" applyBorder="1" applyAlignment="1">
      <alignment horizontal="center"/>
    </xf>
    <xf numFmtId="0" fontId="1" fillId="0" borderId="24" xfId="2" applyBorder="1" applyAlignment="1">
      <alignment horizontal="center"/>
    </xf>
    <xf numFmtId="0" fontId="38" fillId="0" borderId="25" xfId="2" applyFont="1" applyBorder="1" applyAlignment="1">
      <alignment horizontal="center" vertical="center" wrapText="1"/>
    </xf>
    <xf numFmtId="0" fontId="38" fillId="0" borderId="30" xfId="2" applyFont="1" applyBorder="1" applyAlignment="1">
      <alignment horizontal="center" vertical="center" wrapText="1"/>
    </xf>
    <xf numFmtId="0" fontId="68" fillId="0" borderId="24" xfId="2" applyFont="1" applyBorder="1" applyAlignment="1">
      <alignment horizontal="right" wrapText="1"/>
    </xf>
    <xf numFmtId="0" fontId="3" fillId="0" borderId="24" xfId="2" applyFont="1" applyBorder="1" applyAlignment="1">
      <alignment horizontal="center"/>
    </xf>
    <xf numFmtId="0" fontId="3" fillId="0" borderId="61" xfId="2" applyFont="1" applyBorder="1" applyAlignment="1">
      <alignment horizontal="center"/>
    </xf>
    <xf numFmtId="0" fontId="3" fillId="0" borderId="30" xfId="2" applyFont="1" applyBorder="1" applyAlignment="1">
      <alignment horizontal="center"/>
    </xf>
    <xf numFmtId="0" fontId="116" fillId="0" borderId="18" xfId="0" applyFont="1" applyBorder="1" applyAlignment="1">
      <alignment horizontal="left" vertical="center"/>
    </xf>
    <xf numFmtId="0" fontId="116" fillId="0" borderId="24" xfId="0" applyFont="1" applyBorder="1" applyAlignment="1">
      <alignment horizontal="left" vertical="center"/>
    </xf>
    <xf numFmtId="0" fontId="116" fillId="0" borderId="20" xfId="0" applyFont="1" applyBorder="1" applyAlignment="1">
      <alignment horizontal="left" vertical="center"/>
    </xf>
    <xf numFmtId="0" fontId="116" fillId="0" borderId="23" xfId="0" applyFont="1" applyBorder="1" applyAlignment="1">
      <alignment horizontal="left" vertical="center"/>
    </xf>
    <xf numFmtId="0" fontId="116" fillId="0" borderId="27" xfId="0" applyFont="1" applyBorder="1" applyAlignment="1">
      <alignment horizontal="left" vertical="center"/>
    </xf>
    <xf numFmtId="14" fontId="116" fillId="0" borderId="27" xfId="0" applyNumberFormat="1" applyFont="1" applyBorder="1" applyAlignment="1">
      <alignment horizontal="left" vertical="center"/>
    </xf>
    <xf numFmtId="14" fontId="116" fillId="0" borderId="21" xfId="0" applyNumberFormat="1" applyFont="1" applyBorder="1" applyAlignment="1">
      <alignment horizontal="left" vertical="center"/>
    </xf>
    <xf numFmtId="0" fontId="116" fillId="0" borderId="19" xfId="0" applyFont="1" applyBorder="1" applyAlignment="1">
      <alignment horizontal="left" vertical="center"/>
    </xf>
    <xf numFmtId="0" fontId="116" fillId="0" borderId="26" xfId="0" applyFont="1" applyBorder="1" applyAlignment="1">
      <alignment horizontal="left" vertical="center"/>
    </xf>
    <xf numFmtId="0" fontId="116" fillId="0" borderId="36" xfId="0" applyFont="1" applyBorder="1" applyAlignment="1">
      <alignment horizontal="left" vertical="center"/>
    </xf>
    <xf numFmtId="0" fontId="116" fillId="0" borderId="86" xfId="0" applyFont="1" applyBorder="1" applyAlignment="1">
      <alignment horizontal="left" vertical="center"/>
    </xf>
    <xf numFmtId="0" fontId="116" fillId="0" borderId="68" xfId="0" applyFont="1" applyBorder="1" applyAlignment="1">
      <alignment horizontal="left" vertical="center"/>
    </xf>
    <xf numFmtId="0" fontId="116" fillId="0" borderId="22" xfId="0" applyFont="1" applyBorder="1" applyAlignment="1">
      <alignment horizontal="left" vertical="center"/>
    </xf>
    <xf numFmtId="0" fontId="118" fillId="0" borderId="49" xfId="0" applyFont="1" applyBorder="1" applyAlignment="1">
      <alignment horizontal="left" vertical="center"/>
    </xf>
    <xf numFmtId="0" fontId="118" fillId="0" borderId="50" xfId="0" applyFont="1" applyBorder="1" applyAlignment="1">
      <alignment horizontal="left" vertical="center"/>
    </xf>
    <xf numFmtId="0" fontId="118" fillId="0" borderId="46" xfId="0" applyFont="1" applyBorder="1" applyAlignment="1">
      <alignment horizontal="left" vertical="center"/>
    </xf>
    <xf numFmtId="0" fontId="117" fillId="0" borderId="36" xfId="0" applyFont="1" applyBorder="1" applyAlignment="1">
      <alignment horizontal="left" vertical="center"/>
    </xf>
    <xf numFmtId="0" fontId="117" fillId="0" borderId="86" xfId="0" applyFont="1" applyBorder="1" applyAlignment="1">
      <alignment horizontal="left" vertical="center"/>
    </xf>
    <xf numFmtId="0" fontId="117" fillId="0" borderId="68" xfId="0" applyFont="1" applyBorder="1" applyAlignment="1">
      <alignment horizontal="left" vertical="center"/>
    </xf>
    <xf numFmtId="0" fontId="119" fillId="0" borderId="24" xfId="0" applyFont="1" applyBorder="1" applyAlignment="1">
      <alignment horizontal="left" vertical="center"/>
    </xf>
    <xf numFmtId="0" fontId="119" fillId="0" borderId="20" xfId="0" applyFont="1" applyBorder="1" applyAlignment="1">
      <alignment horizontal="left" vertical="center"/>
    </xf>
    <xf numFmtId="0" fontId="119" fillId="0" borderId="24" xfId="0" applyFont="1" applyBorder="1" applyAlignment="1">
      <alignment horizontal="left" vertical="center" wrapText="1"/>
    </xf>
    <xf numFmtId="0" fontId="119" fillId="0" borderId="20" xfId="0" applyFont="1" applyBorder="1" applyAlignment="1">
      <alignment horizontal="left" vertical="center" wrapText="1"/>
    </xf>
    <xf numFmtId="14" fontId="119" fillId="0" borderId="27" xfId="0" applyNumberFormat="1" applyFont="1" applyBorder="1" applyAlignment="1">
      <alignment horizontal="left" vertical="center"/>
    </xf>
    <xf numFmtId="14" fontId="119" fillId="0" borderId="21" xfId="0" applyNumberFormat="1" applyFont="1" applyBorder="1" applyAlignment="1">
      <alignment horizontal="left" vertical="center"/>
    </xf>
    <xf numFmtId="0" fontId="80" fillId="0" borderId="24" xfId="0" applyFont="1" applyBorder="1" applyAlignment="1">
      <alignment horizontal="left" vertical="center"/>
    </xf>
    <xf numFmtId="0" fontId="80" fillId="0" borderId="20" xfId="0" applyFont="1" applyBorder="1" applyAlignment="1">
      <alignment horizontal="left" vertical="center"/>
    </xf>
    <xf numFmtId="0" fontId="80" fillId="0" borderId="24" xfId="0" applyFont="1" applyBorder="1" applyAlignment="1">
      <alignment horizontal="left" vertical="center" wrapText="1"/>
    </xf>
    <xf numFmtId="0" fontId="80" fillId="0" borderId="20" xfId="0" applyFont="1" applyBorder="1" applyAlignment="1">
      <alignment horizontal="left" vertical="center" wrapText="1"/>
    </xf>
    <xf numFmtId="14" fontId="80" fillId="0" borderId="27" xfId="0" applyNumberFormat="1" applyFont="1" applyBorder="1" applyAlignment="1">
      <alignment horizontal="left" vertical="center"/>
    </xf>
    <xf numFmtId="14" fontId="80" fillId="0" borderId="21" xfId="0" applyNumberFormat="1" applyFont="1" applyBorder="1" applyAlignment="1">
      <alignment horizontal="left" vertical="center"/>
    </xf>
    <xf numFmtId="0" fontId="159" fillId="0" borderId="19" xfId="0" applyFont="1" applyBorder="1" applyAlignment="1">
      <alignment horizontal="left" vertical="center" wrapText="1"/>
    </xf>
    <xf numFmtId="0" fontId="159" fillId="0" borderId="26" xfId="0" applyFont="1" applyBorder="1" applyAlignment="1">
      <alignment horizontal="left" vertical="center" wrapText="1"/>
    </xf>
    <xf numFmtId="0" fontId="159" fillId="0" borderId="22" xfId="0" applyFont="1" applyBorder="1" applyAlignment="1">
      <alignment horizontal="left" vertical="center" wrapText="1"/>
    </xf>
    <xf numFmtId="0" fontId="159" fillId="0" borderId="23" xfId="0" applyFont="1" applyBorder="1" applyAlignment="1">
      <alignment horizontal="left" vertical="center" wrapText="1"/>
    </xf>
    <xf numFmtId="0" fontId="159" fillId="0" borderId="27" xfId="0" applyFont="1" applyBorder="1" applyAlignment="1">
      <alignment horizontal="left" vertical="center" wrapText="1"/>
    </xf>
    <xf numFmtId="0" fontId="159" fillId="0" borderId="21" xfId="0" applyFont="1" applyBorder="1" applyAlignment="1">
      <alignment horizontal="left" vertical="center" wrapText="1"/>
    </xf>
    <xf numFmtId="0" fontId="0" fillId="0" borderId="19" xfId="0"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161" fillId="0" borderId="23" xfId="0" applyFont="1" applyBorder="1" applyAlignment="1">
      <alignment horizontal="left" vertical="center" wrapText="1"/>
    </xf>
    <xf numFmtId="0" fontId="161" fillId="0" borderId="27" xfId="0" applyFont="1" applyBorder="1" applyAlignment="1">
      <alignment horizontal="left" vertical="center" wrapText="1"/>
    </xf>
    <xf numFmtId="0" fontId="161" fillId="0" borderId="21" xfId="0" applyFont="1" applyBorder="1" applyAlignment="1">
      <alignment horizontal="left" vertical="center" wrapText="1"/>
    </xf>
    <xf numFmtId="0" fontId="158" fillId="0" borderId="24" xfId="0" applyFont="1" applyBorder="1" applyAlignment="1">
      <alignment horizontal="left" vertical="center" wrapText="1"/>
    </xf>
    <xf numFmtId="179" fontId="162" fillId="10" borderId="20" xfId="0" applyNumberFormat="1" applyFont="1" applyFill="1" applyBorder="1" applyAlignment="1" applyProtection="1">
      <alignment horizontal="left" vertical="center" wrapText="1"/>
      <protection locked="0"/>
    </xf>
    <xf numFmtId="179" fontId="49" fillId="0" borderId="50" xfId="0" applyNumberFormat="1" applyFont="1" applyBorder="1" applyAlignment="1">
      <alignment horizontal="center" vertical="center" wrapText="1"/>
    </xf>
    <xf numFmtId="179" fontId="49" fillId="0" borderId="46" xfId="0" applyNumberFormat="1" applyFont="1" applyBorder="1" applyAlignment="1">
      <alignment horizontal="center" vertical="center" wrapText="1"/>
    </xf>
    <xf numFmtId="0" fontId="158" fillId="0" borderId="20" xfId="0" applyFont="1" applyBorder="1" applyAlignment="1">
      <alignment horizontal="left" vertical="center" wrapText="1"/>
    </xf>
    <xf numFmtId="0" fontId="161" fillId="0" borderId="18" xfId="0" applyFont="1" applyBorder="1" applyAlignment="1">
      <alignment horizontal="left" vertical="center" wrapText="1"/>
    </xf>
    <xf numFmtId="0" fontId="0" fillId="4" borderId="45" xfId="0" applyFill="1" applyBorder="1" applyAlignment="1">
      <alignment horizontal="left"/>
    </xf>
    <xf numFmtId="0" fontId="0" fillId="4" borderId="47" xfId="0" applyFill="1" applyBorder="1" applyAlignment="1">
      <alignment horizontal="left"/>
    </xf>
    <xf numFmtId="0" fontId="0" fillId="0" borderId="58" xfId="0" applyBorder="1" applyAlignment="1">
      <alignment horizontal="left"/>
    </xf>
    <xf numFmtId="0" fontId="0" fillId="0" borderId="60" xfId="0" applyBorder="1" applyAlignment="1">
      <alignment horizontal="left"/>
    </xf>
    <xf numFmtId="0" fontId="0" fillId="0" borderId="0" xfId="0" applyAlignment="1">
      <alignment horizontal="center"/>
    </xf>
    <xf numFmtId="0" fontId="0" fillId="0" borderId="54" xfId="0" applyBorder="1" applyAlignment="1">
      <alignment horizontal="left" vertical="top" wrapText="1"/>
    </xf>
    <xf numFmtId="0" fontId="0" fillId="0" borderId="55" xfId="0" applyBorder="1" applyAlignment="1">
      <alignment horizontal="left" vertical="top" wrapText="1"/>
    </xf>
    <xf numFmtId="0" fontId="0" fillId="0" borderId="56" xfId="0" applyBorder="1" applyAlignment="1">
      <alignment horizontal="left" vertical="top"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06" xfId="0" applyFont="1" applyFill="1" applyBorder="1" applyAlignment="1">
      <alignment horizontal="center" vertical="center" wrapText="1"/>
    </xf>
    <xf numFmtId="0" fontId="15" fillId="4" borderId="59" xfId="0" applyFont="1" applyFill="1" applyBorder="1" applyAlignment="1">
      <alignment horizontal="center" vertical="center" wrapText="1"/>
    </xf>
    <xf numFmtId="0" fontId="119" fillId="0" borderId="32" xfId="0" applyFont="1" applyBorder="1" applyAlignment="1">
      <alignment horizontal="left" vertical="center"/>
    </xf>
    <xf numFmtId="0" fontId="119" fillId="0" borderId="25" xfId="0" applyFont="1" applyBorder="1" applyAlignment="1">
      <alignment horizontal="left" vertical="center"/>
    </xf>
    <xf numFmtId="0" fontId="119" fillId="0" borderId="42" xfId="0" applyFont="1" applyBorder="1" applyAlignment="1">
      <alignment horizontal="left" vertical="center"/>
    </xf>
    <xf numFmtId="0" fontId="0" fillId="0" borderId="54" xfId="0" applyBorder="1" applyAlignment="1">
      <alignment horizontal="left"/>
    </xf>
    <xf numFmtId="0" fontId="0" fillId="0" borderId="56" xfId="0" applyBorder="1" applyAlignment="1">
      <alignment horizontal="left"/>
    </xf>
    <xf numFmtId="174" fontId="12" fillId="4" borderId="6" xfId="4" applyNumberFormat="1" applyFont="1" applyFill="1" applyBorder="1" applyAlignment="1" applyProtection="1">
      <alignment horizontal="center"/>
    </xf>
    <xf numFmtId="0" fontId="0" fillId="0" borderId="49" xfId="0" applyBorder="1" applyAlignment="1">
      <alignment horizontal="left"/>
    </xf>
    <xf numFmtId="0" fontId="0" fillId="0" borderId="46" xfId="0" applyBorder="1" applyAlignment="1">
      <alignment horizontal="left"/>
    </xf>
    <xf numFmtId="0" fontId="0" fillId="0" borderId="45" xfId="0" applyBorder="1" applyAlignment="1">
      <alignment horizontal="left"/>
    </xf>
    <xf numFmtId="0" fontId="0" fillId="0" borderId="47" xfId="0" applyBorder="1" applyAlignment="1">
      <alignment horizontal="left"/>
    </xf>
    <xf numFmtId="0" fontId="143" fillId="0" borderId="19" xfId="2" applyFont="1" applyBorder="1" applyAlignment="1">
      <alignment horizontal="left"/>
    </xf>
    <xf numFmtId="0" fontId="143" fillId="0" borderId="26" xfId="2" applyFont="1" applyBorder="1" applyAlignment="1">
      <alignment horizontal="left"/>
    </xf>
    <xf numFmtId="0" fontId="143" fillId="0" borderId="22" xfId="2" applyFont="1" applyBorder="1" applyAlignment="1">
      <alignment horizontal="left"/>
    </xf>
    <xf numFmtId="0" fontId="90" fillId="0" borderId="18" xfId="2" applyFont="1" applyBorder="1" applyAlignment="1">
      <alignment horizontal="left"/>
    </xf>
    <xf numFmtId="0" fontId="90" fillId="0" borderId="24" xfId="2" applyFont="1" applyBorder="1" applyAlignment="1">
      <alignment horizontal="left"/>
    </xf>
    <xf numFmtId="0" fontId="90" fillId="0" borderId="20" xfId="2" applyFont="1" applyBorder="1" applyAlignment="1">
      <alignment horizontal="left"/>
    </xf>
    <xf numFmtId="14" fontId="90" fillId="0" borderId="65" xfId="2" applyNumberFormat="1" applyFont="1" applyBorder="1" applyAlignment="1">
      <alignment horizontal="left"/>
    </xf>
    <xf numFmtId="14" fontId="90" fillId="0" borderId="87" xfId="2" applyNumberFormat="1" applyFont="1" applyBorder="1" applyAlignment="1">
      <alignment horizontal="left"/>
    </xf>
    <xf numFmtId="0" fontId="88" fillId="0" borderId="1" xfId="0" applyFont="1" applyBorder="1" applyAlignment="1">
      <alignment horizontal="center" vertical="center" textRotation="90" wrapText="1"/>
    </xf>
    <xf numFmtId="0" fontId="8" fillId="0" borderId="1" xfId="2" applyFont="1" applyBorder="1" applyAlignment="1">
      <alignment wrapText="1"/>
    </xf>
    <xf numFmtId="0" fontId="89" fillId="0" borderId="1" xfId="2" applyFont="1" applyBorder="1" applyAlignment="1">
      <alignment wrapText="1"/>
    </xf>
    <xf numFmtId="0" fontId="16" fillId="0" borderId="1" xfId="2" applyFont="1" applyBorder="1" applyAlignment="1">
      <alignment horizontal="center" wrapText="1"/>
    </xf>
    <xf numFmtId="0" fontId="91" fillId="0" borderId="24" xfId="2" applyFont="1" applyBorder="1" applyAlignment="1">
      <alignment horizontal="right"/>
    </xf>
    <xf numFmtId="0" fontId="90" fillId="0" borderId="24" xfId="2" applyFont="1" applyBorder="1" applyAlignment="1">
      <alignment horizontal="right" vertical="center"/>
    </xf>
    <xf numFmtId="177" fontId="95" fillId="0" borderId="24" xfId="2" applyNumberFormat="1" applyFont="1" applyBorder="1" applyAlignment="1">
      <alignment horizontal="right" vertical="center"/>
    </xf>
    <xf numFmtId="0" fontId="90" fillId="0" borderId="24" xfId="2" applyFont="1" applyBorder="1" applyAlignment="1">
      <alignment horizontal="right"/>
    </xf>
    <xf numFmtId="0" fontId="92" fillId="6" borderId="24" xfId="2" applyFont="1" applyFill="1" applyBorder="1" applyAlignment="1">
      <alignment horizontal="right"/>
    </xf>
    <xf numFmtId="0" fontId="97" fillId="0" borderId="3" xfId="2" applyFont="1" applyBorder="1" applyAlignment="1">
      <alignment horizontal="right" vertical="center" wrapText="1"/>
    </xf>
    <xf numFmtId="178" fontId="97" fillId="0" borderId="3" xfId="2" applyNumberFormat="1" applyFont="1" applyBorder="1" applyAlignment="1">
      <alignment horizontal="right" vertical="center"/>
    </xf>
    <xf numFmtId="0" fontId="1" fillId="0" borderId="0" xfId="2" applyAlignment="1">
      <alignment horizontal="center"/>
    </xf>
    <xf numFmtId="0" fontId="101" fillId="0" borderId="3" xfId="2" applyFont="1" applyBorder="1" applyAlignment="1">
      <alignment horizontal="right" vertical="center" wrapText="1"/>
    </xf>
    <xf numFmtId="0" fontId="116" fillId="0" borderId="49" xfId="0" applyFont="1" applyBorder="1" applyAlignment="1">
      <alignment horizontal="left" vertical="center"/>
    </xf>
    <xf numFmtId="0" fontId="116" fillId="0" borderId="50" xfId="0" applyFont="1" applyBorder="1" applyAlignment="1">
      <alignment horizontal="left" vertical="center"/>
    </xf>
    <xf numFmtId="0" fontId="116" fillId="0" borderId="46" xfId="0" applyFont="1" applyBorder="1" applyAlignment="1">
      <alignment horizontal="left" vertical="center"/>
    </xf>
    <xf numFmtId="0" fontId="102" fillId="0" borderId="1" xfId="2" applyFont="1" applyBorder="1" applyAlignment="1">
      <alignment horizontal="right"/>
    </xf>
    <xf numFmtId="0" fontId="24" fillId="0" borderId="3" xfId="2" applyFont="1" applyBorder="1" applyAlignment="1" applyProtection="1">
      <alignment horizontal="left"/>
      <protection locked="0"/>
    </xf>
    <xf numFmtId="0" fontId="91" fillId="0" borderId="3" xfId="2" applyFont="1" applyBorder="1" applyAlignment="1">
      <alignment horizontal="right"/>
    </xf>
    <xf numFmtId="0" fontId="92" fillId="6" borderId="2" xfId="2" applyFont="1" applyFill="1" applyBorder="1" applyAlignment="1">
      <alignment horizontal="right"/>
    </xf>
    <xf numFmtId="0" fontId="92" fillId="6" borderId="96" xfId="2" applyFont="1" applyFill="1" applyBorder="1" applyAlignment="1">
      <alignment horizontal="right"/>
    </xf>
    <xf numFmtId="0" fontId="92" fillId="6" borderId="97" xfId="2" applyFont="1" applyFill="1" applyBorder="1" applyAlignment="1">
      <alignment horizontal="right"/>
    </xf>
    <xf numFmtId="0" fontId="96" fillId="0" borderId="0" xfId="2" applyFont="1" applyAlignment="1">
      <alignment horizontal="right"/>
    </xf>
    <xf numFmtId="0" fontId="30" fillId="0" borderId="0" xfId="2" applyFont="1" applyAlignment="1">
      <alignment horizontal="right"/>
    </xf>
    <xf numFmtId="0" fontId="90" fillId="0" borderId="3" xfId="2" applyFont="1" applyBorder="1" applyAlignment="1">
      <alignment horizontal="right"/>
    </xf>
    <xf numFmtId="0" fontId="32" fillId="0" borderId="0" xfId="2" applyFont="1"/>
    <xf numFmtId="0" fontId="101" fillId="0" borderId="32" xfId="2" applyFont="1" applyBorder="1" applyAlignment="1">
      <alignment horizontal="center"/>
    </xf>
    <xf numFmtId="0" fontId="101" fillId="0" borderId="74" xfId="2" applyFont="1" applyBorder="1" applyAlignment="1">
      <alignment horizontal="center"/>
    </xf>
    <xf numFmtId="0" fontId="101" fillId="0" borderId="105" xfId="2" applyFont="1" applyBorder="1" applyAlignment="1">
      <alignment horizontal="center"/>
    </xf>
    <xf numFmtId="0" fontId="165" fillId="24" borderId="44" xfId="2" applyFont="1" applyFill="1" applyBorder="1" applyAlignment="1">
      <alignment horizontal="left" vertical="center"/>
    </xf>
    <xf numFmtId="0" fontId="165" fillId="24" borderId="86" xfId="2" applyFont="1" applyFill="1" applyBorder="1" applyAlignment="1">
      <alignment horizontal="left" vertical="center"/>
    </xf>
    <xf numFmtId="0" fontId="165" fillId="24" borderId="92" xfId="2" applyFont="1" applyFill="1" applyBorder="1" applyAlignment="1">
      <alignment horizontal="left" vertical="center"/>
    </xf>
    <xf numFmtId="0" fontId="165" fillId="24" borderId="36" xfId="2" applyFont="1" applyFill="1" applyBorder="1" applyAlignment="1">
      <alignment horizontal="left" vertical="center"/>
    </xf>
    <xf numFmtId="0" fontId="165" fillId="24" borderId="68" xfId="2" applyFont="1" applyFill="1" applyBorder="1" applyAlignment="1">
      <alignment horizontal="left" vertical="center"/>
    </xf>
    <xf numFmtId="0" fontId="101" fillId="8" borderId="31" xfId="2" applyFont="1" applyFill="1" applyBorder="1" applyAlignment="1">
      <alignment horizontal="left" vertical="center"/>
    </xf>
    <xf numFmtId="0" fontId="101" fillId="8" borderId="67" xfId="2" applyFont="1" applyFill="1" applyBorder="1" applyAlignment="1">
      <alignment horizontal="left" vertical="center"/>
    </xf>
    <xf numFmtId="0" fontId="101" fillId="8" borderId="70" xfId="2" applyFont="1" applyFill="1" applyBorder="1" applyAlignment="1">
      <alignment horizontal="left" vertical="center"/>
    </xf>
    <xf numFmtId="0" fontId="165" fillId="24" borderId="44" xfId="2" applyFont="1" applyFill="1" applyBorder="1" applyAlignment="1">
      <alignment horizontal="left" vertical="center" wrapText="1"/>
    </xf>
    <xf numFmtId="0" fontId="165" fillId="24" borderId="86" xfId="2" applyFont="1" applyFill="1" applyBorder="1" applyAlignment="1">
      <alignment horizontal="left" vertical="center" wrapText="1"/>
    </xf>
    <xf numFmtId="0" fontId="165" fillId="24" borderId="68" xfId="2" applyFont="1" applyFill="1" applyBorder="1" applyAlignment="1">
      <alignment horizontal="left" vertical="center" wrapText="1"/>
    </xf>
    <xf numFmtId="0" fontId="98" fillId="0" borderId="19" xfId="2" applyFont="1" applyBorder="1"/>
    <xf numFmtId="0" fontId="98" fillId="0" borderId="26" xfId="2" applyFont="1" applyBorder="1"/>
    <xf numFmtId="0" fontId="98" fillId="0" borderId="23" xfId="2" applyFont="1" applyBorder="1" applyAlignment="1">
      <alignment horizontal="left" vertical="center"/>
    </xf>
    <xf numFmtId="0" fontId="98" fillId="0" borderId="27" xfId="2" applyFont="1" applyBorder="1" applyAlignment="1">
      <alignment horizontal="left" vertical="center"/>
    </xf>
    <xf numFmtId="0" fontId="98" fillId="0" borderId="24" xfId="2" applyFont="1" applyBorder="1"/>
    <xf numFmtId="0" fontId="98" fillId="0" borderId="27" xfId="2" applyFont="1" applyBorder="1"/>
    <xf numFmtId="0" fontId="104" fillId="0" borderId="0" xfId="2" applyFont="1" applyAlignment="1">
      <alignment horizontal="center" vertical="center" wrapText="1"/>
    </xf>
    <xf numFmtId="0" fontId="93" fillId="0" borderId="27" xfId="2" applyFont="1" applyBorder="1" applyAlignment="1">
      <alignment horizontal="left"/>
    </xf>
    <xf numFmtId="0" fontId="93" fillId="0" borderId="24" xfId="2" applyFont="1" applyBorder="1" applyAlignment="1">
      <alignment horizontal="left"/>
    </xf>
    <xf numFmtId="0" fontId="93" fillId="0" borderId="20" xfId="2" applyFont="1" applyBorder="1" applyAlignment="1">
      <alignment horizontal="left"/>
    </xf>
    <xf numFmtId="0" fontId="111" fillId="0" borderId="23" xfId="0" applyFont="1" applyBorder="1" applyAlignment="1">
      <alignment wrapText="1"/>
    </xf>
    <xf numFmtId="0" fontId="111" fillId="0" borderId="27" xfId="0" applyFont="1" applyBorder="1" applyAlignment="1">
      <alignment wrapText="1"/>
    </xf>
    <xf numFmtId="0" fontId="165" fillId="24" borderId="18" xfId="2" applyFont="1" applyFill="1" applyBorder="1" applyAlignment="1">
      <alignment horizontal="left" wrapText="1"/>
    </xf>
    <xf numFmtId="0" fontId="165" fillId="24" borderId="24" xfId="2" applyFont="1" applyFill="1" applyBorder="1" applyAlignment="1">
      <alignment horizontal="left" wrapText="1"/>
    </xf>
    <xf numFmtId="0" fontId="165" fillId="24" borderId="20" xfId="2" applyFont="1" applyFill="1" applyBorder="1" applyAlignment="1">
      <alignment horizontal="left" wrapText="1"/>
    </xf>
    <xf numFmtId="0" fontId="111" fillId="0" borderId="43" xfId="0" applyFont="1" applyBorder="1" applyAlignment="1">
      <alignment wrapText="1"/>
    </xf>
    <xf numFmtId="0" fontId="111" fillId="0" borderId="41" xfId="0" applyFont="1" applyBorder="1" applyAlignment="1">
      <alignment wrapText="1"/>
    </xf>
    <xf numFmtId="0" fontId="91" fillId="0" borderId="18" xfId="2" applyFont="1" applyBorder="1"/>
    <xf numFmtId="0" fontId="91" fillId="0" borderId="24" xfId="2" applyFont="1" applyBorder="1"/>
    <xf numFmtId="0" fontId="101" fillId="0" borderId="24" xfId="2" applyFont="1" applyBorder="1"/>
    <xf numFmtId="14" fontId="93" fillId="0" borderId="27" xfId="2" applyNumberFormat="1" applyFont="1" applyBorder="1" applyAlignment="1">
      <alignment horizontal="left"/>
    </xf>
    <xf numFmtId="14" fontId="93" fillId="0" borderId="21" xfId="2" applyNumberFormat="1" applyFont="1" applyBorder="1" applyAlignment="1">
      <alignment horizontal="left"/>
    </xf>
    <xf numFmtId="0" fontId="93" fillId="7" borderId="69" xfId="2" applyFont="1" applyFill="1" applyBorder="1" applyAlignment="1" applyProtection="1">
      <alignment horizontal="left"/>
      <protection locked="0"/>
    </xf>
    <xf numFmtId="0" fontId="93" fillId="7" borderId="112" xfId="2" applyFont="1" applyFill="1" applyBorder="1" applyAlignment="1" applyProtection="1">
      <alignment horizontal="left"/>
      <protection locked="0"/>
    </xf>
    <xf numFmtId="0" fontId="105" fillId="0" borderId="24" xfId="0" applyFont="1" applyBorder="1"/>
    <xf numFmtId="0" fontId="101" fillId="0" borderId="18" xfId="2" applyFont="1" applyBorder="1"/>
    <xf numFmtId="0" fontId="101" fillId="0" borderId="23" xfId="2" applyFont="1" applyBorder="1"/>
    <xf numFmtId="0" fontId="101" fillId="0" borderId="27" xfId="2" applyFont="1" applyBorder="1"/>
    <xf numFmtId="0" fontId="101" fillId="0" borderId="24" xfId="2" applyFont="1" applyBorder="1" applyAlignment="1">
      <alignment horizontal="left"/>
    </xf>
    <xf numFmtId="0" fontId="101" fillId="0" borderId="20" xfId="2" applyFont="1" applyBorder="1" applyAlignment="1">
      <alignment horizontal="left"/>
    </xf>
    <xf numFmtId="0" fontId="101" fillId="8" borderId="19" xfId="2" applyFont="1" applyFill="1" applyBorder="1" applyAlignment="1">
      <alignment horizontal="left" vertical="center"/>
    </xf>
    <xf numFmtId="0" fontId="101" fillId="8" borderId="26" xfId="2" applyFont="1" applyFill="1" applyBorder="1" applyAlignment="1">
      <alignment horizontal="left" vertical="center"/>
    </xf>
    <xf numFmtId="0" fontId="101" fillId="8" borderId="22" xfId="2" applyFont="1" applyFill="1" applyBorder="1" applyAlignment="1">
      <alignment horizontal="left" vertical="center"/>
    </xf>
    <xf numFmtId="0" fontId="98" fillId="0" borderId="1" xfId="2" applyFont="1" applyBorder="1"/>
    <xf numFmtId="0" fontId="105" fillId="0" borderId="18" xfId="0" applyFont="1" applyBorder="1"/>
    <xf numFmtId="0" fontId="99" fillId="0" borderId="109" xfId="0" applyFont="1" applyBorder="1" applyAlignment="1">
      <alignment wrapText="1"/>
    </xf>
    <xf numFmtId="0" fontId="99" fillId="0" borderId="1" xfId="0" applyFont="1" applyBorder="1" applyAlignment="1">
      <alignment wrapText="1"/>
    </xf>
    <xf numFmtId="0" fontId="101" fillId="0" borderId="1" xfId="2" applyFont="1" applyBorder="1"/>
    <xf numFmtId="0" fontId="98" fillId="0" borderId="113" xfId="2" applyFont="1" applyBorder="1" applyAlignment="1">
      <alignment wrapText="1"/>
    </xf>
    <xf numFmtId="0" fontId="98" fillId="0" borderId="109" xfId="2" applyFont="1" applyBorder="1" applyAlignment="1">
      <alignment wrapText="1"/>
    </xf>
    <xf numFmtId="0" fontId="98" fillId="0" borderId="18" xfId="2" applyFont="1" applyBorder="1"/>
    <xf numFmtId="0" fontId="165" fillId="24" borderId="1" xfId="2" applyFont="1" applyFill="1" applyBorder="1"/>
    <xf numFmtId="0" fontId="104" fillId="0" borderId="1" xfId="2" applyFont="1" applyBorder="1" applyAlignment="1">
      <alignment horizontal="center" vertical="center" wrapText="1"/>
    </xf>
    <xf numFmtId="0" fontId="98" fillId="0" borderId="1" xfId="2" applyFont="1" applyBorder="1" applyAlignment="1">
      <alignment wrapText="1"/>
    </xf>
    <xf numFmtId="0" fontId="91" fillId="0" borderId="1" xfId="2" applyFont="1" applyBorder="1"/>
    <xf numFmtId="0" fontId="165" fillId="24" borderId="101" xfId="2" applyFont="1" applyFill="1" applyBorder="1" applyAlignment="1">
      <alignment vertical="center"/>
    </xf>
    <xf numFmtId="0" fontId="165" fillId="24" borderId="102" xfId="2" applyFont="1" applyFill="1" applyBorder="1" applyAlignment="1">
      <alignment vertical="center"/>
    </xf>
    <xf numFmtId="0" fontId="165" fillId="24" borderId="103" xfId="2" applyFont="1" applyFill="1" applyBorder="1" applyAlignment="1">
      <alignment vertical="center"/>
    </xf>
    <xf numFmtId="0" fontId="105" fillId="0" borderId="1" xfId="0" applyFont="1" applyBorder="1"/>
    <xf numFmtId="0" fontId="165" fillId="0" borderId="1" xfId="2" applyFont="1" applyBorder="1" applyAlignment="1">
      <alignment horizontal="center" vertical="center" wrapText="1"/>
    </xf>
    <xf numFmtId="0" fontId="97" fillId="0" borderId="96" xfId="2" applyFont="1" applyBorder="1" applyAlignment="1">
      <alignment horizontal="left"/>
    </xf>
    <xf numFmtId="0" fontId="97" fillId="0" borderId="83" xfId="2" applyFont="1" applyBorder="1" applyAlignment="1">
      <alignment horizontal="left"/>
    </xf>
    <xf numFmtId="0" fontId="91" fillId="0" borderId="96" xfId="2" applyFont="1" applyBorder="1" applyAlignment="1">
      <alignment horizontal="left"/>
    </xf>
    <xf numFmtId="0" fontId="91" fillId="0" borderId="83" xfId="2" applyFont="1" applyBorder="1" applyAlignment="1">
      <alignment horizontal="left"/>
    </xf>
    <xf numFmtId="0" fontId="91" fillId="0" borderId="100" xfId="2" applyFont="1" applyBorder="1" applyAlignment="1">
      <alignment horizontal="left"/>
    </xf>
    <xf numFmtId="0" fontId="91" fillId="0" borderId="104" xfId="2" applyFont="1" applyBorder="1" applyAlignment="1">
      <alignment horizontal="left"/>
    </xf>
    <xf numFmtId="0" fontId="91" fillId="0" borderId="31" xfId="2" applyFont="1" applyBorder="1" applyAlignment="1">
      <alignment horizontal="left"/>
    </xf>
    <xf numFmtId="0" fontId="91" fillId="0" borderId="70" xfId="2" applyFont="1" applyBorder="1" applyAlignment="1">
      <alignment horizontal="left"/>
    </xf>
    <xf numFmtId="0" fontId="91" fillId="24" borderId="37" xfId="2" applyFont="1" applyFill="1" applyBorder="1" applyAlignment="1" applyProtection="1">
      <alignment horizontal="left"/>
      <protection locked="0"/>
    </xf>
    <xf numFmtId="0" fontId="91" fillId="24" borderId="65" xfId="2" applyFont="1" applyFill="1" applyBorder="1" applyAlignment="1" applyProtection="1">
      <alignment horizontal="left"/>
      <protection locked="0"/>
    </xf>
    <xf numFmtId="0" fontId="91" fillId="24" borderId="87" xfId="2" applyFont="1" applyFill="1" applyBorder="1" applyAlignment="1" applyProtection="1">
      <alignment horizontal="left"/>
      <protection locked="0"/>
    </xf>
    <xf numFmtId="0" fontId="12" fillId="12" borderId="54" xfId="0" applyFont="1" applyFill="1" applyBorder="1" applyAlignment="1">
      <alignment horizontal="center" vertical="center"/>
    </xf>
    <xf numFmtId="0" fontId="12" fillId="12" borderId="55" xfId="0" applyFont="1" applyFill="1" applyBorder="1" applyAlignment="1">
      <alignment horizontal="center" vertical="center"/>
    </xf>
    <xf numFmtId="0" fontId="12" fillId="12" borderId="56" xfId="0" applyFont="1" applyFill="1" applyBorder="1" applyAlignment="1">
      <alignment horizontal="center" vertical="center"/>
    </xf>
    <xf numFmtId="174" fontId="12" fillId="14" borderId="54" xfId="4" applyNumberFormat="1" applyFont="1" applyFill="1" applyBorder="1" applyAlignment="1" applyProtection="1">
      <alignment horizontal="center"/>
    </xf>
    <xf numFmtId="174" fontId="12" fillId="14" borderId="55" xfId="4" applyNumberFormat="1" applyFont="1" applyFill="1" applyBorder="1" applyAlignment="1" applyProtection="1">
      <alignment horizontal="center"/>
    </xf>
    <xf numFmtId="174" fontId="12" fillId="14" borderId="56" xfId="4" applyNumberFormat="1" applyFont="1" applyFill="1" applyBorder="1" applyAlignment="1" applyProtection="1">
      <alignment horizontal="center"/>
    </xf>
    <xf numFmtId="0" fontId="81" fillId="0" borderId="34" xfId="2" applyFont="1" applyBorder="1" applyAlignment="1">
      <alignment horizontal="center" vertical="center" wrapText="1"/>
    </xf>
    <xf numFmtId="0" fontId="81" fillId="0" borderId="72" xfId="2" applyFont="1" applyBorder="1" applyAlignment="1">
      <alignment horizontal="center" vertical="center" wrapText="1"/>
    </xf>
    <xf numFmtId="0" fontId="101" fillId="0" borderId="107" xfId="2" applyFont="1" applyBorder="1" applyAlignment="1">
      <alignment horizontal="left"/>
    </xf>
    <xf numFmtId="0" fontId="101" fillId="0" borderId="108" xfId="2" applyFont="1" applyBorder="1" applyAlignment="1">
      <alignment horizontal="left"/>
    </xf>
    <xf numFmtId="0" fontId="93" fillId="0" borderId="96" xfId="2" applyFont="1" applyBorder="1" applyAlignment="1">
      <alignment horizontal="left"/>
    </xf>
    <xf numFmtId="0" fontId="93" fillId="0" borderId="83" xfId="2" applyFont="1" applyBorder="1" applyAlignment="1">
      <alignment horizontal="left"/>
    </xf>
    <xf numFmtId="0" fontId="98" fillId="0" borderId="100" xfId="2" applyFont="1" applyBorder="1" applyAlignment="1">
      <alignment horizontal="left"/>
    </xf>
    <xf numFmtId="0" fontId="98" fillId="0" borderId="104" xfId="2" applyFont="1" applyBorder="1" applyAlignment="1">
      <alignment horizontal="left"/>
    </xf>
    <xf numFmtId="0" fontId="93" fillId="0" borderId="37" xfId="2" applyFont="1" applyBorder="1" applyAlignment="1">
      <alignment horizontal="left"/>
    </xf>
    <xf numFmtId="0" fontId="93" fillId="0" borderId="85" xfId="2" applyFont="1" applyBorder="1" applyAlignment="1">
      <alignment horizontal="left"/>
    </xf>
    <xf numFmtId="0" fontId="93" fillId="0" borderId="100" xfId="2" applyFont="1" applyBorder="1" applyAlignment="1">
      <alignment horizontal="left"/>
    </xf>
    <xf numFmtId="0" fontId="93" fillId="0" borderId="104" xfId="2" applyFont="1" applyBorder="1" applyAlignment="1">
      <alignment horizontal="left"/>
    </xf>
    <xf numFmtId="0" fontId="136" fillId="0" borderId="34" xfId="2" applyFont="1" applyBorder="1" applyAlignment="1">
      <alignment horizontal="center" vertical="center" wrapText="1"/>
    </xf>
    <xf numFmtId="0" fontId="136" fillId="0" borderId="72" xfId="2" applyFont="1" applyBorder="1" applyAlignment="1">
      <alignment horizontal="center" vertical="center" wrapText="1"/>
    </xf>
    <xf numFmtId="0" fontId="146" fillId="0" borderId="25" xfId="0" applyFont="1" applyBorder="1" applyAlignment="1">
      <alignment horizontal="center" vertical="center" wrapText="1"/>
    </xf>
    <xf numFmtId="0" fontId="146" fillId="0" borderId="28" xfId="0" applyFont="1" applyBorder="1" applyAlignment="1">
      <alignment horizontal="center" vertical="center" wrapText="1"/>
    </xf>
    <xf numFmtId="0" fontId="146" fillId="0" borderId="30" xfId="0" applyFont="1" applyBorder="1" applyAlignment="1">
      <alignment horizontal="center" vertical="center" wrapText="1"/>
    </xf>
    <xf numFmtId="0" fontId="148" fillId="0" borderId="24" xfId="0" applyFont="1" applyBorder="1" applyAlignment="1">
      <alignment horizontal="left" vertical="center" wrapText="1"/>
    </xf>
    <xf numFmtId="0" fontId="148" fillId="0" borderId="24" xfId="0" applyFont="1" applyBorder="1" applyAlignment="1" applyProtection="1">
      <alignment horizontal="left" vertical="center" wrapText="1"/>
      <protection locked="0"/>
    </xf>
    <xf numFmtId="0" fontId="221" fillId="0" borderId="67" xfId="0" applyFont="1" applyBorder="1" applyAlignment="1">
      <alignment horizontal="left"/>
    </xf>
    <xf numFmtId="0" fontId="195" fillId="10" borderId="24" xfId="0" applyFont="1" applyFill="1" applyBorder="1" applyAlignment="1">
      <alignment horizontal="right" vertical="center" wrapText="1"/>
    </xf>
    <xf numFmtId="0" fontId="170" fillId="22" borderId="24" xfId="0" applyFont="1" applyFill="1" applyBorder="1" applyAlignment="1" applyProtection="1">
      <alignment wrapText="1"/>
      <protection locked="0"/>
    </xf>
    <xf numFmtId="0" fontId="221" fillId="0" borderId="0" xfId="0" applyFont="1" applyAlignment="1">
      <alignment horizontal="left"/>
    </xf>
    <xf numFmtId="0" fontId="195" fillId="0" borderId="31" xfId="0" applyFont="1" applyBorder="1" applyAlignment="1" applyProtection="1">
      <alignment horizontal="left" vertical="center" wrapText="1"/>
      <protection locked="0"/>
    </xf>
    <xf numFmtId="3" fontId="170" fillId="0" borderId="31" xfId="0" applyNumberFormat="1" applyFont="1" applyBorder="1" applyAlignment="1" applyProtection="1">
      <alignment horizontal="left" vertical="center" wrapText="1"/>
      <protection locked="0"/>
    </xf>
    <xf numFmtId="3" fontId="170" fillId="0" borderId="70" xfId="0" applyNumberFormat="1" applyFont="1" applyBorder="1" applyAlignment="1" applyProtection="1">
      <alignment horizontal="left" vertical="center" wrapText="1"/>
      <protection locked="0"/>
    </xf>
    <xf numFmtId="0" fontId="170" fillId="0" borderId="31" xfId="0" applyFont="1" applyBorder="1" applyAlignment="1" applyProtection="1">
      <alignment horizontal="left" vertical="center" wrapText="1"/>
      <protection locked="0"/>
    </xf>
    <xf numFmtId="0" fontId="170" fillId="0" borderId="70" xfId="0" applyFont="1" applyBorder="1" applyAlignment="1" applyProtection="1">
      <alignment horizontal="left" vertical="center" wrapText="1"/>
      <protection locked="0"/>
    </xf>
    <xf numFmtId="0" fontId="202" fillId="10" borderId="31" xfId="0" applyFont="1" applyFill="1" applyBorder="1" applyAlignment="1">
      <alignment horizontal="left"/>
    </xf>
    <xf numFmtId="0" fontId="202" fillId="10" borderId="70" xfId="0" applyFont="1" applyFill="1" applyBorder="1" applyAlignment="1">
      <alignment horizontal="left"/>
    </xf>
    <xf numFmtId="0" fontId="202" fillId="10" borderId="38" xfId="0" applyFont="1" applyFill="1" applyBorder="1" applyAlignment="1">
      <alignment horizontal="center"/>
    </xf>
    <xf numFmtId="0" fontId="202" fillId="10" borderId="53" xfId="0" applyFont="1" applyFill="1" applyBorder="1" applyAlignment="1">
      <alignment horizontal="center"/>
    </xf>
    <xf numFmtId="0" fontId="195" fillId="0" borderId="31" xfId="0" applyFont="1" applyBorder="1" applyAlignment="1" applyProtection="1">
      <alignment vertical="center" wrapText="1"/>
      <protection locked="0"/>
    </xf>
    <xf numFmtId="0" fontId="195" fillId="0" borderId="70" xfId="0" applyFont="1" applyBorder="1" applyAlignment="1" applyProtection="1">
      <alignment vertical="center" wrapText="1"/>
      <protection locked="0"/>
    </xf>
    <xf numFmtId="3" fontId="170" fillId="0" borderId="31" xfId="0" applyNumberFormat="1" applyFont="1" applyBorder="1" applyAlignment="1" applyProtection="1">
      <alignment vertical="center" wrapText="1"/>
      <protection locked="0"/>
    </xf>
    <xf numFmtId="3" fontId="170" fillId="0" borderId="70" xfId="0" applyNumberFormat="1" applyFont="1" applyBorder="1" applyAlignment="1" applyProtection="1">
      <alignment vertical="center" wrapText="1"/>
      <protection locked="0"/>
    </xf>
    <xf numFmtId="0" fontId="170" fillId="0" borderId="31" xfId="0" applyFont="1" applyBorder="1" applyAlignment="1" applyProtection="1">
      <alignment vertical="center" wrapText="1"/>
      <protection locked="0"/>
    </xf>
    <xf numFmtId="0" fontId="170" fillId="0" borderId="70" xfId="0" applyFont="1" applyBorder="1" applyAlignment="1" applyProtection="1">
      <alignment vertical="center" wrapText="1"/>
      <protection locked="0"/>
    </xf>
    <xf numFmtId="0" fontId="202" fillId="10" borderId="31" xfId="0" applyFont="1" applyFill="1" applyBorder="1" applyAlignment="1">
      <alignment horizontal="center"/>
    </xf>
    <xf numFmtId="0" fontId="202" fillId="10" borderId="70" xfId="0" applyFont="1" applyFill="1" applyBorder="1" applyAlignment="1">
      <alignment horizontal="center"/>
    </xf>
    <xf numFmtId="0" fontId="195" fillId="10" borderId="24" xfId="0" applyFont="1" applyFill="1" applyBorder="1" applyAlignment="1">
      <alignment horizontal="left" vertical="center" wrapText="1"/>
    </xf>
    <xf numFmtId="0" fontId="170" fillId="12" borderId="24" xfId="0" applyFont="1" applyFill="1" applyBorder="1" applyAlignment="1" applyProtection="1">
      <alignment horizontal="left" vertical="center"/>
      <protection locked="0"/>
    </xf>
    <xf numFmtId="0" fontId="195" fillId="10" borderId="31" xfId="0" applyFont="1" applyFill="1" applyBorder="1" applyAlignment="1">
      <alignment horizontal="right"/>
    </xf>
    <xf numFmtId="0" fontId="195" fillId="10" borderId="70" xfId="0" applyFont="1" applyFill="1" applyBorder="1" applyAlignment="1">
      <alignment horizontal="right"/>
    </xf>
    <xf numFmtId="0" fontId="170" fillId="22" borderId="24" xfId="0" applyFont="1" applyFill="1" applyBorder="1" applyAlignment="1" applyProtection="1">
      <alignment horizontal="left" vertical="center"/>
      <protection locked="0"/>
    </xf>
    <xf numFmtId="0" fontId="195" fillId="10" borderId="24" xfId="0" applyFont="1" applyFill="1" applyBorder="1" applyAlignment="1">
      <alignment horizontal="right" vertical="center"/>
    </xf>
    <xf numFmtId="0" fontId="195" fillId="10" borderId="24" xfId="0" applyFont="1" applyFill="1" applyBorder="1" applyAlignment="1">
      <alignment horizontal="right"/>
    </xf>
    <xf numFmtId="0" fontId="170" fillId="12" borderId="24" xfId="0" applyFont="1" applyFill="1" applyBorder="1" applyAlignment="1" applyProtection="1">
      <alignment vertical="center" wrapText="1"/>
      <protection locked="0"/>
    </xf>
    <xf numFmtId="0" fontId="1" fillId="0" borderId="19" xfId="2" applyBorder="1" applyAlignment="1">
      <alignment horizontal="center"/>
    </xf>
    <xf numFmtId="0" fontId="1" fillId="0" borderId="26" xfId="2" applyBorder="1" applyAlignment="1">
      <alignment horizontal="center"/>
    </xf>
    <xf numFmtId="0" fontId="1" fillId="0" borderId="18" xfId="2" applyBorder="1" applyAlignment="1">
      <alignment horizontal="center"/>
    </xf>
    <xf numFmtId="0" fontId="1" fillId="0" borderId="23" xfId="2" applyBorder="1" applyAlignment="1">
      <alignment horizontal="center"/>
    </xf>
    <xf numFmtId="0" fontId="1" fillId="0" borderId="27" xfId="2" applyBorder="1" applyAlignment="1">
      <alignment horizontal="center"/>
    </xf>
    <xf numFmtId="0" fontId="202" fillId="0" borderId="33" xfId="0" applyFont="1" applyBorder="1"/>
    <xf numFmtId="0" fontId="202" fillId="0" borderId="30" xfId="0" applyFont="1" applyBorder="1"/>
    <xf numFmtId="3" fontId="202" fillId="0" borderId="30" xfId="0" applyNumberFormat="1" applyFont="1" applyBorder="1"/>
    <xf numFmtId="0" fontId="202" fillId="0" borderId="23" xfId="0" applyFont="1" applyBorder="1"/>
    <xf numFmtId="0" fontId="202" fillId="0" borderId="27" xfId="0" applyFont="1" applyBorder="1"/>
    <xf numFmtId="38" fontId="202" fillId="0" borderId="27" xfId="0" applyNumberFormat="1" applyFont="1" applyBorder="1" applyAlignment="1">
      <alignment horizontal="center"/>
    </xf>
    <xf numFmtId="3" fontId="202" fillId="0" borderId="27" xfId="0" applyNumberFormat="1" applyFont="1" applyBorder="1" applyAlignment="1">
      <alignment horizontal="center"/>
    </xf>
    <xf numFmtId="3" fontId="202" fillId="0" borderId="21" xfId="0" applyNumberFormat="1" applyFont="1" applyBorder="1" applyAlignment="1">
      <alignment horizontal="center"/>
    </xf>
    <xf numFmtId="0" fontId="195" fillId="10" borderId="19" xfId="0" applyFont="1" applyFill="1" applyBorder="1" applyAlignment="1" applyProtection="1">
      <alignment horizontal="left" vertical="center" wrapText="1"/>
      <protection locked="0"/>
    </xf>
    <xf numFmtId="0" fontId="195" fillId="10" borderId="18" xfId="0" applyFont="1" applyFill="1" applyBorder="1" applyAlignment="1" applyProtection="1">
      <alignment horizontal="left" vertical="center" wrapText="1"/>
      <protection locked="0"/>
    </xf>
    <xf numFmtId="0" fontId="195" fillId="10" borderId="23" xfId="0" applyFont="1" applyFill="1" applyBorder="1" applyAlignment="1" applyProtection="1">
      <alignment horizontal="left" vertical="center" wrapText="1"/>
      <protection locked="0"/>
    </xf>
    <xf numFmtId="3" fontId="195" fillId="28" borderId="22" xfId="0" applyNumberFormat="1" applyFont="1" applyFill="1" applyBorder="1" applyAlignment="1" applyProtection="1">
      <alignment horizontal="right" vertical="center"/>
      <protection locked="0"/>
    </xf>
    <xf numFmtId="3" fontId="195" fillId="28" borderId="20" xfId="0" applyNumberFormat="1" applyFont="1" applyFill="1" applyBorder="1" applyAlignment="1" applyProtection="1">
      <alignment horizontal="right" vertical="center"/>
      <protection locked="0"/>
    </xf>
    <xf numFmtId="3" fontId="195" fillId="28" borderId="21" xfId="0" applyNumberFormat="1" applyFont="1" applyFill="1" applyBorder="1" applyAlignment="1" applyProtection="1">
      <alignment horizontal="right" vertical="center"/>
      <protection locked="0"/>
    </xf>
    <xf numFmtId="3" fontId="58" fillId="28" borderId="26" xfId="0" applyNumberFormat="1" applyFont="1" applyFill="1" applyBorder="1" applyAlignment="1" applyProtection="1">
      <alignment horizontal="right" vertical="center"/>
      <protection locked="0"/>
    </xf>
    <xf numFmtId="3" fontId="58" fillId="28" borderId="24" xfId="0" applyNumberFormat="1" applyFont="1" applyFill="1" applyBorder="1" applyAlignment="1" applyProtection="1">
      <alignment horizontal="right" vertical="center"/>
      <protection locked="0"/>
    </xf>
    <xf numFmtId="3" fontId="58" fillId="28" borderId="27" xfId="0" applyNumberFormat="1" applyFont="1" applyFill="1" applyBorder="1" applyAlignment="1" applyProtection="1">
      <alignment horizontal="right" vertical="center"/>
      <protection locked="0"/>
    </xf>
    <xf numFmtId="0" fontId="195" fillId="10" borderId="19" xfId="0" applyFont="1" applyFill="1" applyBorder="1" applyAlignment="1" applyProtection="1">
      <alignment horizontal="left" vertical="center"/>
      <protection locked="0"/>
    </xf>
    <xf numFmtId="0" fontId="195" fillId="10" borderId="18" xfId="0" applyFont="1" applyFill="1" applyBorder="1" applyAlignment="1" applyProtection="1">
      <alignment horizontal="left" vertical="center"/>
      <protection locked="0"/>
    </xf>
    <xf numFmtId="0" fontId="195" fillId="10" borderId="23" xfId="0" applyFont="1" applyFill="1" applyBorder="1" applyAlignment="1" applyProtection="1">
      <alignment horizontal="left" vertical="center"/>
      <protection locked="0"/>
    </xf>
    <xf numFmtId="3" fontId="58" fillId="28" borderId="26" xfId="0" applyNumberFormat="1" applyFont="1" applyFill="1" applyBorder="1" applyAlignment="1" applyProtection="1">
      <alignment horizontal="right"/>
      <protection locked="0"/>
    </xf>
    <xf numFmtId="3" fontId="58" fillId="28" borderId="24" xfId="0" applyNumberFormat="1" applyFont="1" applyFill="1" applyBorder="1" applyAlignment="1" applyProtection="1">
      <alignment horizontal="right"/>
      <protection locked="0"/>
    </xf>
    <xf numFmtId="3" fontId="58" fillId="28" borderId="27" xfId="0" applyNumberFormat="1" applyFont="1" applyFill="1" applyBorder="1" applyAlignment="1" applyProtection="1">
      <alignment horizontal="right"/>
      <protection locked="0"/>
    </xf>
    <xf numFmtId="3" fontId="168" fillId="28" borderId="26" xfId="0" applyNumberFormat="1" applyFont="1" applyFill="1" applyBorder="1" applyAlignment="1" applyProtection="1">
      <alignment horizontal="center" vertical="center"/>
      <protection locked="0"/>
    </xf>
    <xf numFmtId="3" fontId="168" fillId="28" borderId="27" xfId="0" applyNumberFormat="1" applyFont="1" applyFill="1" applyBorder="1" applyAlignment="1" applyProtection="1">
      <alignment horizontal="center" vertical="center"/>
      <protection locked="0"/>
    </xf>
    <xf numFmtId="184" fontId="168" fillId="28" borderId="26" xfId="0" applyNumberFormat="1" applyFont="1" applyFill="1" applyBorder="1" applyAlignment="1" applyProtection="1">
      <alignment horizontal="center" vertical="center"/>
      <protection locked="0"/>
    </xf>
    <xf numFmtId="184" fontId="168" fillId="28" borderId="27" xfId="0" applyNumberFormat="1" applyFont="1" applyFill="1" applyBorder="1" applyAlignment="1" applyProtection="1">
      <alignment horizontal="center" vertical="center"/>
      <protection locked="0"/>
    </xf>
    <xf numFmtId="3" fontId="168" fillId="28" borderId="24" xfId="0" applyNumberFormat="1" applyFont="1" applyFill="1" applyBorder="1" applyAlignment="1" applyProtection="1">
      <alignment horizontal="center" vertical="center"/>
      <protection locked="0"/>
    </xf>
    <xf numFmtId="184" fontId="168" fillId="28" borderId="26" xfId="0" applyNumberFormat="1" applyFont="1" applyFill="1" applyBorder="1" applyAlignment="1" applyProtection="1">
      <alignment vertical="center"/>
      <protection locked="0"/>
    </xf>
    <xf numFmtId="184" fontId="168" fillId="28" borderId="24" xfId="0" applyNumberFormat="1" applyFont="1" applyFill="1" applyBorder="1" applyAlignment="1" applyProtection="1">
      <alignment vertical="center"/>
      <protection locked="0"/>
    </xf>
    <xf numFmtId="184" fontId="168" fillId="28" borderId="27" xfId="0" applyNumberFormat="1" applyFont="1" applyFill="1" applyBorder="1" applyAlignment="1" applyProtection="1">
      <alignment vertical="center"/>
      <protection locked="0"/>
    </xf>
    <xf numFmtId="3" fontId="195" fillId="28" borderId="22" xfId="0" applyNumberFormat="1" applyFont="1" applyFill="1" applyBorder="1" applyAlignment="1" applyProtection="1">
      <alignment horizontal="right"/>
      <protection locked="0"/>
    </xf>
    <xf numFmtId="3" fontId="195" fillId="28" borderId="21" xfId="0" applyNumberFormat="1" applyFont="1" applyFill="1" applyBorder="1" applyAlignment="1" applyProtection="1">
      <alignment horizontal="right"/>
      <protection locked="0"/>
    </xf>
    <xf numFmtId="0" fontId="117" fillId="0" borderId="92" xfId="0" applyFont="1" applyBorder="1" applyAlignment="1">
      <alignment horizontal="left" vertical="center"/>
    </xf>
    <xf numFmtId="0" fontId="117" fillId="0" borderId="37" xfId="0" applyFont="1" applyBorder="1" applyAlignment="1">
      <alignment horizontal="left" vertical="center"/>
    </xf>
    <xf numFmtId="0" fontId="117" fillId="0" borderId="85" xfId="0" applyFont="1" applyBorder="1" applyAlignment="1">
      <alignment horizontal="left" vertical="center"/>
    </xf>
    <xf numFmtId="0" fontId="195" fillId="10" borderId="24" xfId="0" applyFont="1" applyFill="1" applyBorder="1" applyAlignment="1">
      <alignment horizontal="left" vertical="center"/>
    </xf>
    <xf numFmtId="0" fontId="202" fillId="10" borderId="24" xfId="0" applyFont="1" applyFill="1" applyBorder="1" applyAlignment="1">
      <alignment horizontal="center"/>
    </xf>
    <xf numFmtId="0" fontId="202" fillId="10" borderId="24" xfId="0" applyFont="1" applyFill="1" applyBorder="1" applyAlignment="1">
      <alignment horizontal="center" wrapText="1"/>
    </xf>
    <xf numFmtId="0" fontId="170" fillId="22" borderId="24" xfId="0" applyFont="1" applyFill="1" applyBorder="1" applyAlignment="1" applyProtection="1">
      <alignment horizontal="left" vertical="center" wrapText="1"/>
      <protection locked="0"/>
    </xf>
    <xf numFmtId="0" fontId="170" fillId="0" borderId="24" xfId="0" applyFont="1" applyBorder="1" applyAlignment="1" applyProtection="1">
      <alignment horizontal="center" wrapText="1"/>
      <protection locked="0"/>
    </xf>
    <xf numFmtId="0" fontId="225" fillId="10" borderId="24" xfId="0" applyFont="1" applyFill="1" applyBorder="1" applyAlignment="1">
      <alignment horizontal="right" vertical="center"/>
    </xf>
    <xf numFmtId="0" fontId="170" fillId="12" borderId="24" xfId="0" applyFont="1" applyFill="1" applyBorder="1" applyAlignment="1" applyProtection="1">
      <alignment wrapText="1"/>
      <protection locked="0"/>
    </xf>
    <xf numFmtId="0" fontId="170" fillId="12" borderId="24" xfId="0" applyFont="1" applyFill="1" applyBorder="1" applyProtection="1">
      <protection locked="0"/>
    </xf>
    <xf numFmtId="0" fontId="195" fillId="10" borderId="31" xfId="0" applyFont="1" applyFill="1" applyBorder="1" applyAlignment="1">
      <alignment horizontal="left" vertical="center" wrapText="1"/>
    </xf>
    <xf numFmtId="0" fontId="195" fillId="10" borderId="70" xfId="0" applyFont="1" applyFill="1" applyBorder="1" applyAlignment="1">
      <alignment horizontal="left" vertical="center" wrapText="1"/>
    </xf>
    <xf numFmtId="0" fontId="170" fillId="12" borderId="31" xfId="0" applyFont="1" applyFill="1" applyBorder="1" applyAlignment="1" applyProtection="1">
      <alignment horizontal="center"/>
      <protection locked="0"/>
    </xf>
    <xf numFmtId="0" fontId="170" fillId="12" borderId="67" xfId="0" applyFont="1" applyFill="1" applyBorder="1" applyAlignment="1" applyProtection="1">
      <alignment horizontal="center"/>
      <protection locked="0"/>
    </xf>
    <xf numFmtId="0" fontId="170" fillId="12" borderId="70" xfId="0" applyFont="1" applyFill="1" applyBorder="1" applyAlignment="1" applyProtection="1">
      <alignment horizontal="center"/>
      <protection locked="0"/>
    </xf>
    <xf numFmtId="0" fontId="195" fillId="10" borderId="24" xfId="0" applyFont="1" applyFill="1" applyBorder="1" applyAlignment="1">
      <alignment wrapText="1"/>
    </xf>
    <xf numFmtId="0" fontId="225" fillId="10" borderId="24" xfId="0" applyFont="1" applyFill="1" applyBorder="1" applyAlignment="1">
      <alignment horizontal="right" vertical="center" wrapText="1"/>
    </xf>
    <xf numFmtId="0" fontId="202" fillId="10" borderId="24" xfId="0" applyFont="1" applyFill="1" applyBorder="1" applyAlignment="1">
      <alignment wrapText="1"/>
    </xf>
    <xf numFmtId="0" fontId="224" fillId="0" borderId="24" xfId="0" applyFont="1" applyBorder="1" applyAlignment="1">
      <alignment vertical="top" wrapText="1"/>
    </xf>
    <xf numFmtId="0" fontId="226" fillId="0" borderId="24" xfId="0" applyFont="1" applyBorder="1" applyAlignment="1">
      <alignment vertical="top" wrapText="1"/>
    </xf>
    <xf numFmtId="184" fontId="168" fillId="28" borderId="24" xfId="0" applyNumberFormat="1" applyFont="1" applyFill="1" applyBorder="1" applyAlignment="1" applyProtection="1">
      <alignment horizontal="center" vertical="center"/>
      <protection locked="0"/>
    </xf>
    <xf numFmtId="3" fontId="195" fillId="28" borderId="20" xfId="0" applyNumberFormat="1" applyFont="1" applyFill="1" applyBorder="1" applyAlignment="1" applyProtection="1">
      <alignment horizontal="right"/>
      <protection locked="0"/>
    </xf>
    <xf numFmtId="0" fontId="12" fillId="15" borderId="54" xfId="0" applyFont="1" applyFill="1" applyBorder="1" applyAlignment="1">
      <alignment horizontal="center" vertical="center"/>
    </xf>
    <xf numFmtId="0" fontId="12" fillId="15" borderId="55" xfId="0" applyFont="1" applyFill="1" applyBorder="1" applyAlignment="1">
      <alignment horizontal="center" vertical="center"/>
    </xf>
    <xf numFmtId="0" fontId="12" fillId="15" borderId="56" xfId="0" applyFont="1" applyFill="1" applyBorder="1" applyAlignment="1">
      <alignment horizontal="center" vertical="center"/>
    </xf>
    <xf numFmtId="0" fontId="6" fillId="0" borderId="45" xfId="0" applyFont="1" applyBorder="1" applyAlignment="1">
      <alignment horizontal="left"/>
    </xf>
    <xf numFmtId="0" fontId="6" fillId="0" borderId="47" xfId="0" applyFont="1" applyBorder="1" applyAlignment="1">
      <alignment horizontal="left"/>
    </xf>
    <xf numFmtId="174" fontId="12" fillId="4" borderId="54" xfId="4" applyNumberFormat="1" applyFont="1" applyFill="1" applyBorder="1" applyAlignment="1" applyProtection="1">
      <alignment horizontal="center"/>
    </xf>
    <xf numFmtId="174" fontId="12" fillId="4" borderId="55" xfId="4" applyNumberFormat="1" applyFont="1" applyFill="1" applyBorder="1" applyAlignment="1" applyProtection="1">
      <alignment horizontal="center"/>
    </xf>
    <xf numFmtId="174" fontId="12" fillId="4" borderId="56" xfId="4" applyNumberFormat="1" applyFont="1" applyFill="1" applyBorder="1" applyAlignment="1" applyProtection="1">
      <alignment horizontal="center"/>
    </xf>
    <xf numFmtId="0" fontId="6" fillId="0" borderId="0" xfId="0" applyFont="1" applyAlignment="1">
      <alignment horizontal="center"/>
    </xf>
    <xf numFmtId="0" fontId="64" fillId="0" borderId="1" xfId="2" applyFont="1" applyBorder="1" applyAlignment="1">
      <alignment horizontal="right"/>
    </xf>
    <xf numFmtId="0" fontId="26" fillId="0" borderId="3" xfId="2" applyFont="1" applyBorder="1" applyAlignment="1">
      <alignment horizontal="right"/>
    </xf>
    <xf numFmtId="0" fontId="31" fillId="0" borderId="3" xfId="2" applyFont="1" applyBorder="1" applyAlignment="1">
      <alignment horizontal="right"/>
    </xf>
    <xf numFmtId="0" fontId="28" fillId="6" borderId="3" xfId="2" applyFont="1" applyFill="1" applyBorder="1" applyAlignment="1">
      <alignment horizontal="right"/>
    </xf>
    <xf numFmtId="0" fontId="25" fillId="0" borderId="0" xfId="2" applyFont="1"/>
    <xf numFmtId="0" fontId="24" fillId="0" borderId="3" xfId="2" applyFont="1" applyBorder="1" applyAlignment="1">
      <alignment horizontal="right" vertical="center" wrapText="1"/>
    </xf>
    <xf numFmtId="178" fontId="24" fillId="0" borderId="3" xfId="2" applyNumberFormat="1" applyFont="1" applyBorder="1" applyAlignment="1">
      <alignment horizontal="center" vertical="center"/>
    </xf>
    <xf numFmtId="0" fontId="35" fillId="0" borderId="3" xfId="2" applyFont="1" applyBorder="1" applyAlignment="1">
      <alignment horizontal="right" vertical="center" wrapText="1"/>
    </xf>
  </cellXfs>
  <cellStyles count="7">
    <cellStyle name="Collegamento ipertestuale" xfId="1" builtinId="8"/>
    <cellStyle name="Excel Built-in Normal" xfId="2" xr:uid="{51A9FE4C-8650-40ED-9049-D54C78A599A8}"/>
    <cellStyle name="Migliaia" xfId="3" builtinId="3"/>
    <cellStyle name="Migliaia [0]" xfId="4" builtinId="6"/>
    <cellStyle name="Normale" xfId="0" builtinId="0"/>
    <cellStyle name="Normale 2" xfId="6" xr:uid="{42BDACF7-54FE-4DC5-AA0B-71659D734F92}"/>
    <cellStyle name="Valuta" xfId="5" builtinId="4"/>
  </cellStyles>
  <dxfs count="3">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s>
  <tableStyles count="1" defaultTableStyle="TableStyleMedium2" defaultPivotStyle="PivotStyleLight16">
    <tableStyle name="Foglio1-style" pivot="0" count="3" xr9:uid="{C30CBE76-5C23-4896-AD7E-98B7D51111D5}">
      <tableStyleElement type="headerRow" dxfId="2"/>
      <tableStyleElement type="firstRowStripe" dxfId="1"/>
      <tableStyleElement type="secondRow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66"/>
      <rgbColor rgb="0000FFFF"/>
      <rgbColor rgb="007E0021"/>
      <rgbColor rgb="00008000"/>
      <rgbColor rgb="00000080"/>
      <rgbColor rgb="00808000"/>
      <rgbColor rgb="00800080"/>
      <rgbColor rgb="00008080"/>
      <rgbColor rgb="00B3B3B3"/>
      <rgbColor rgb="00767171"/>
      <rgbColor rgb="009999FF"/>
      <rgbColor rgb="00FF3333"/>
      <rgbColor rgb="00F2F2F2"/>
      <rgbColor rgb="00CCFFFF"/>
      <rgbColor rgb="00660066"/>
      <rgbColor rgb="00FF8080"/>
      <rgbColor rgb="000066CC"/>
      <rgbColor rgb="00C0C0FF"/>
      <rgbColor rgb="00000080"/>
      <rgbColor rgb="00FF00FF"/>
      <rgbColor rgb="00FFFF00"/>
      <rgbColor rgb="0000FFFF"/>
      <rgbColor rgb="00800080"/>
      <rgbColor rgb="00800000"/>
      <rgbColor rgb="00008080"/>
      <rgbColor rgb="000000FF"/>
      <rgbColor rgb="0000CCFF"/>
      <rgbColor rgb="00EEEEEE"/>
      <rgbColor rgb="00E3E3E3"/>
      <rgbColor rgb="00FFFF99"/>
      <rgbColor rgb="0099CCFF"/>
      <rgbColor rgb="00FF99CC"/>
      <rgbColor rgb="00CC66FF"/>
      <rgbColor rgb="00FFCC99"/>
      <rgbColor rgb="003366FF"/>
      <rgbColor rgb="0033CCCC"/>
      <rgbColor rgb="0099CC00"/>
      <rgbColor rgb="00FFD320"/>
      <rgbColor rgb="00FF9900"/>
      <rgbColor rgb="00FF420E"/>
      <rgbColor rgb="00666699"/>
      <rgbColor rgb="0070AD47"/>
      <rgbColor rgb="00004586"/>
      <rgbColor rgb="00579D1C"/>
      <rgbColor rgb="00003300"/>
      <rgbColor rgb="00333300"/>
      <rgbColor rgb="00993300"/>
      <rgbColor rgb="00993366"/>
      <rgbColor rgb="00333399"/>
      <rgbColor rgb="00333333"/>
    </indexedColors>
    <mruColors>
      <color rgb="FF150179"/>
      <color rgb="FFCAF2F1"/>
      <color rgb="FF009999"/>
      <color rgb="FF7191D1"/>
      <color rgb="FF33CCCC"/>
      <color rgb="FF213965"/>
      <color rgb="FF7DE1DF"/>
      <color rgb="FFBBEFEE"/>
      <color rgb="FF00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microsoft.com/office/2022/10/relationships/richValueRel" Target="richData/richValueRel.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microsoft.com/office/2017/06/relationships/rdRichValueTypes" Target="richData/rdRichValueTypes.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06/relationships/rdRichValue" Target="richData/rdrichvalue.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0"/>
          <c:w val="0.88368214732400474"/>
          <c:h val="0.6333931851878436"/>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4-B8F1-4AAE-9192-DE70FB92AA8C}"/>
              </c:ext>
            </c:extLst>
          </c:dPt>
          <c:dPt>
            <c:idx val="1"/>
            <c:invertIfNegative val="0"/>
            <c:bubble3D val="0"/>
            <c:spPr>
              <a:solidFill>
                <a:srgbClr val="2F5291"/>
              </a:solidFill>
              <a:ln>
                <a:noFill/>
              </a:ln>
              <a:effectLst/>
            </c:spPr>
            <c:extLst>
              <c:ext xmlns:c16="http://schemas.microsoft.com/office/drawing/2014/chart" uri="{C3380CC4-5D6E-409C-BE32-E72D297353CC}">
                <c16:uniqueId val="{0000000A-B8F1-4AAE-9192-DE70FB92AA8C}"/>
              </c:ext>
            </c:extLst>
          </c:dPt>
          <c:dPt>
            <c:idx val="2"/>
            <c:invertIfNegative val="0"/>
            <c:bubble3D val="0"/>
            <c:spPr>
              <a:solidFill>
                <a:srgbClr val="4B77C5"/>
              </a:solidFill>
              <a:ln>
                <a:noFill/>
              </a:ln>
              <a:effectLst/>
            </c:spPr>
            <c:extLst>
              <c:ext xmlns:c16="http://schemas.microsoft.com/office/drawing/2014/chart" uri="{C3380CC4-5D6E-409C-BE32-E72D297353CC}">
                <c16:uniqueId val="{0000000B-B8F1-4AAE-9192-DE70FB92AA8C}"/>
              </c:ext>
            </c:extLst>
          </c:dPt>
          <c:dPt>
            <c:idx val="3"/>
            <c:invertIfNegative val="0"/>
            <c:bubble3D val="0"/>
            <c:spPr>
              <a:solidFill>
                <a:srgbClr val="4B77C5"/>
              </a:solidFill>
              <a:ln>
                <a:noFill/>
              </a:ln>
              <a:effectLst/>
            </c:spPr>
            <c:extLst>
              <c:ext xmlns:c16="http://schemas.microsoft.com/office/drawing/2014/chart" uri="{C3380CC4-5D6E-409C-BE32-E72D297353CC}">
                <c16:uniqueId val="{0000000C-B8F1-4AAE-9192-DE70FB92AA8C}"/>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0-B8F1-4AAE-9192-DE70FB92AA8C}"/>
            </c:ext>
          </c:extLst>
        </c:ser>
        <c:ser>
          <c:idx val="1"/>
          <c:order val="1"/>
          <c:tx>
            <c:strRef>
              <c:f>'calcoli Cliente'!$T$26</c:f>
              <c:strCache>
                <c:ptCount val="1"/>
                <c:pt idx="0">
                  <c:v>Rend. suppl. AI figli</c:v>
                </c:pt>
              </c:strCache>
            </c:strRef>
          </c:tx>
          <c:spPr>
            <a:solidFill>
              <a:srgbClr val="7D9CD5"/>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F1-4AAE-9192-DE70FB92AA8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F1-4AAE-9192-DE70FB92AA8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1-B8F1-4AAE-9192-DE70FB92AA8C}"/>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2-B8F1-4AAE-9192-DE70FB92AA8C}"/>
            </c:ext>
          </c:extLst>
        </c:ser>
        <c:ser>
          <c:idx val="3"/>
          <c:order val="3"/>
          <c:tx>
            <c:strRef>
              <c:f>'calcoli Cliente'!$V$26</c:f>
              <c:strCache>
                <c:ptCount val="1"/>
                <c:pt idx="0">
                  <c:v>Rend. suppl. LPP figli</c:v>
                </c:pt>
              </c:strCache>
            </c:strRef>
          </c:tx>
          <c:spPr>
            <a:solidFill>
              <a:srgbClr val="ADEFED"/>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F1-4AAE-9192-DE70FB92AA8C}"/>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3-B8F1-4AAE-9192-DE70FB92AA8C}"/>
            </c:ext>
          </c:extLst>
        </c:ser>
        <c:ser>
          <c:idx val="4"/>
          <c:order val="4"/>
          <c:tx>
            <c:strRef>
              <c:f>'calcoli Cliente'!$W$26</c:f>
              <c:strCache>
                <c:ptCount val="1"/>
                <c:pt idx="0">
                  <c:v>Lacune</c:v>
                </c:pt>
              </c:strCache>
            </c:strRef>
          </c:tx>
          <c:spPr>
            <a:solidFill>
              <a:srgbClr val="FF0000">
                <a:alpha val="67059"/>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8-B8F1-4AAE-9192-DE70FB92AA8C}"/>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Partner'!$K$42</c:f>
              <c:strCache>
                <c:ptCount val="1"/>
                <c:pt idx="0">
                  <c:v>Redditi / Rendite 1. e 2. pilastro</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2826-4BA7-A3DB-BB360417DE1F}"/>
              </c:ext>
            </c:extLst>
          </c:dPt>
          <c:dPt>
            <c:idx val="1"/>
            <c:invertIfNegative val="0"/>
            <c:bubble3D val="0"/>
            <c:spPr>
              <a:solidFill>
                <a:srgbClr val="63DCDB"/>
              </a:solidFill>
              <a:ln>
                <a:noFill/>
              </a:ln>
              <a:effectLst/>
            </c:spPr>
            <c:extLst>
              <c:ext xmlns:c16="http://schemas.microsoft.com/office/drawing/2014/chart" uri="{C3380CC4-5D6E-409C-BE32-E72D297353CC}">
                <c16:uniqueId val="{00000003-2826-4BA7-A3DB-BB360417DE1F}"/>
              </c:ext>
            </c:extLst>
          </c:dPt>
          <c:dPt>
            <c:idx val="2"/>
            <c:invertIfNegative val="0"/>
            <c:bubble3D val="0"/>
            <c:spPr>
              <a:solidFill>
                <a:srgbClr val="63DCDB"/>
              </a:solidFill>
              <a:ln>
                <a:noFill/>
              </a:ln>
              <a:effectLst/>
            </c:spPr>
            <c:extLst>
              <c:ext xmlns:c16="http://schemas.microsoft.com/office/drawing/2014/chart" uri="{C3380CC4-5D6E-409C-BE32-E72D297353CC}">
                <c16:uniqueId val="{00000005-2826-4BA7-A3DB-BB360417DE1F}"/>
              </c:ext>
            </c:extLst>
          </c:dPt>
          <c:dPt>
            <c:idx val="3"/>
            <c:invertIfNegative val="0"/>
            <c:bubble3D val="0"/>
            <c:spPr>
              <a:solidFill>
                <a:srgbClr val="4B77C5"/>
              </a:solidFill>
              <a:ln>
                <a:noFill/>
              </a:ln>
              <a:effectLst/>
            </c:spPr>
            <c:extLst>
              <c:ext xmlns:c16="http://schemas.microsoft.com/office/drawing/2014/chart" uri="{C3380CC4-5D6E-409C-BE32-E72D297353CC}">
                <c16:uniqueId val="{00000007-2826-4BA7-A3DB-BB360417DE1F}"/>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extLst>
                <c:ext xmlns:c16="http://schemas.microsoft.com/office/drawing/2014/chart" uri="{C3380CC4-5D6E-409C-BE32-E72D297353CC}">
                  <c16:uniqueId val="{00000001-2826-4BA7-A3DB-BB360417DE1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Partner'!$J$43:$J$45</c:f>
              <c:strCache>
                <c:ptCount val="3"/>
                <c:pt idx="0">
                  <c:v>Fabbisogno mensile</c:v>
                </c:pt>
                <c:pt idx="1">
                  <c:v>Vedovanza (con Figli)</c:v>
                </c:pt>
                <c:pt idx="2">
                  <c:v>Vedovanza (senza Figli)</c:v>
                </c:pt>
              </c:strCache>
            </c:strRef>
          </c:cat>
          <c:val>
            <c:numRef>
              <c:f>'Calcoli Partner'!$K$43:$K$45</c:f>
              <c:numCache>
                <c:formatCode>#,##0</c:formatCode>
                <c:ptCount val="3"/>
                <c:pt idx="0">
                  <c:v>0</c:v>
                </c:pt>
                <c:pt idx="1">
                  <c:v>0</c:v>
                </c:pt>
                <c:pt idx="2">
                  <c:v>0</c:v>
                </c:pt>
              </c:numCache>
            </c:numRef>
          </c:val>
          <c:extLst>
            <c:ext xmlns:c16="http://schemas.microsoft.com/office/drawing/2014/chart" uri="{C3380CC4-5D6E-409C-BE32-E72D297353CC}">
              <c16:uniqueId val="{00000008-2826-4BA7-A3DB-BB360417DE1F}"/>
            </c:ext>
          </c:extLst>
        </c:ser>
        <c:ser>
          <c:idx val="2"/>
          <c:order val="2"/>
          <c:tx>
            <c:strRef>
              <c:f>'Calcoli Partner'!$M$42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Partner'!$J$43:$J$45</c:f>
              <c:strCache>
                <c:ptCount val="3"/>
                <c:pt idx="0">
                  <c:v>Fabbisogno mensile</c:v>
                </c:pt>
                <c:pt idx="1">
                  <c:v>Vedovanza (con Figli)</c:v>
                </c:pt>
                <c:pt idx="2">
                  <c:v>Vedovanza (senza Figli)</c:v>
                </c:pt>
              </c:strCache>
            </c:strRef>
          </c:cat>
          <c:val>
            <c:numRef>
              <c:f>'Calcoli Partner'!$M$43:$M$45</c:f>
              <c:numCache>
                <c:formatCode>#,##0</c:formatCode>
                <c:ptCount val="3"/>
                <c:pt idx="1">
                  <c:v>0</c:v>
                </c:pt>
                <c:pt idx="2">
                  <c:v>0</c:v>
                </c:pt>
              </c:numCache>
            </c:numRef>
          </c:val>
          <c:extLst>
            <c:ext xmlns:c16="http://schemas.microsoft.com/office/drawing/2014/chart" uri="{C3380CC4-5D6E-409C-BE32-E72D297353CC}">
              <c16:uniqueId val="{00000009-2826-4BA7-A3DB-BB360417DE1F}"/>
            </c:ext>
          </c:extLst>
        </c:ser>
        <c:dLbls>
          <c:showLegendKey val="0"/>
          <c:showVal val="0"/>
          <c:showCatName val="0"/>
          <c:showSerName val="0"/>
          <c:showPercent val="0"/>
          <c:showBubbleSize val="0"/>
        </c:dLbls>
        <c:gapWidth val="100"/>
        <c:overlap val="100"/>
        <c:axId val="1831527327"/>
        <c:axId val="1831523007"/>
        <c:extLst>
          <c:ext xmlns:c15="http://schemas.microsoft.com/office/drawing/2012/chart" uri="{02D57815-91ED-43cb-92C2-25804820EDAC}">
            <c15:filteredBarSeries>
              <c15:ser>
                <c:idx val="1"/>
                <c:order val="1"/>
                <c:tx>
                  <c:strRef>
                    <c:extLst>
                      <c:ext uri="{02D57815-91ED-43cb-92C2-25804820EDAC}">
                        <c15:formulaRef>
                          <c15:sqref>'Calcoli Partner'!$L$42</c15:sqref>
                        </c15:formulaRef>
                      </c:ext>
                    </c:extLst>
                    <c:strCache>
                      <c:ptCount val="1"/>
                      <c:pt idx="0">
                        <c:v>3. pilastro</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'Calcoli Partner'!$J$43:$J$45</c15:sqref>
                        </c15:formulaRef>
                      </c:ext>
                    </c:extLst>
                    <c:strCache>
                      <c:ptCount val="3"/>
                      <c:pt idx="0">
                        <c:v>Fabbisogno mensile</c:v>
                      </c:pt>
                      <c:pt idx="1">
                        <c:v>Vedovanza (con Figli)</c:v>
                      </c:pt>
                      <c:pt idx="2">
                        <c:v>Vedovanza (senza Figli)</c:v>
                      </c:pt>
                    </c:strCache>
                  </c:strRef>
                </c:cat>
                <c:val>
                  <c:numRef>
                    <c:extLst>
                      <c:ext uri="{02D57815-91ED-43cb-92C2-25804820EDAC}">
                        <c15:formulaRef>
                          <c15:sqref>'Calcoli Partner'!$L$43:$L$45</c15:sqref>
                        </c15:formulaRef>
                      </c:ext>
                    </c:extLst>
                    <c:numCache>
                      <c:formatCode>#,##0</c:formatCode>
                      <c:ptCount val="3"/>
                    </c:numCache>
                  </c:numRef>
                </c:val>
                <c:extLst>
                  <c:ext xmlns:c16="http://schemas.microsoft.com/office/drawing/2014/chart" uri="{C3380CC4-5D6E-409C-BE32-E72D297353CC}">
                    <c16:uniqueId val="{0000000A-2826-4BA7-A3DB-BB360417DE1F}"/>
                  </c:ext>
                </c:extLst>
              </c15:ser>
            </c15:filteredBarSeries>
          </c:ext>
        </c:extLst>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Cliente'!$K$26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3514-43D0-8EAF-01CAB96B4282}"/>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B-3514-43D0-8EAF-01CAB96B4282}"/>
              </c:ext>
            </c:extLst>
          </c:dPt>
          <c:dPt>
            <c:idx val="2"/>
            <c:invertIfNegative val="0"/>
            <c:bubble3D val="0"/>
            <c:spPr>
              <a:solidFill>
                <a:srgbClr val="5D84CB"/>
              </a:solidFill>
              <a:ln>
                <a:noFill/>
              </a:ln>
              <a:effectLst/>
            </c:spPr>
            <c:extLst>
              <c:ext xmlns:c16="http://schemas.microsoft.com/office/drawing/2014/chart" uri="{C3380CC4-5D6E-409C-BE32-E72D297353CC}">
                <c16:uniqueId val="{0000000C-3514-43D0-8EAF-01CAB96B4282}"/>
              </c:ext>
            </c:extLst>
          </c:dPt>
          <c:dPt>
            <c:idx val="3"/>
            <c:invertIfNegative val="0"/>
            <c:bubble3D val="0"/>
            <c:spPr>
              <a:solidFill>
                <a:srgbClr val="5D84CB"/>
              </a:solidFill>
              <a:ln>
                <a:noFill/>
              </a:ln>
              <a:effectLst/>
            </c:spPr>
            <c:extLst>
              <c:ext xmlns:c16="http://schemas.microsoft.com/office/drawing/2014/chart" uri="{C3380CC4-5D6E-409C-BE32-E72D297353CC}">
                <c16:uniqueId val="{0000000D-3514-43D0-8EAF-01CAB96B4282}"/>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Cliente'!$J$27:$J$30</c:f>
              <c:strCache>
                <c:ptCount val="4"/>
                <c:pt idx="0">
                  <c:v>Fabbisogno mensile</c:v>
                </c:pt>
                <c:pt idx="1">
                  <c:v>Malattia: I.G. - 720 gg.</c:v>
                </c:pt>
                <c:pt idx="2">
                  <c:v>Inv. con suppl. x figli &lt; 18/25 anni</c:v>
                </c:pt>
                <c:pt idx="3">
                  <c:v>Inv. (senza Figli)</c:v>
                </c:pt>
              </c:strCache>
            </c:strRef>
          </c:cat>
          <c:val>
            <c:numRef>
              <c:f>'calcoli Cliente'!$K$27:$K$30</c:f>
              <c:numCache>
                <c:formatCode>#,##0_);\(#,##0\)</c:formatCode>
                <c:ptCount val="4"/>
                <c:pt idx="0">
                  <c:v>0</c:v>
                </c:pt>
                <c:pt idx="1">
                  <c:v>0</c:v>
                </c:pt>
                <c:pt idx="2">
                  <c:v>1260</c:v>
                </c:pt>
                <c:pt idx="3">
                  <c:v>1260</c:v>
                </c:pt>
              </c:numCache>
            </c:numRef>
          </c:val>
          <c:extLst>
            <c:ext xmlns:c16="http://schemas.microsoft.com/office/drawing/2014/chart" uri="{C3380CC4-5D6E-409C-BE32-E72D297353CC}">
              <c16:uniqueId val="{00000002-3514-43D0-8EAF-01CAB96B4282}"/>
            </c:ext>
          </c:extLst>
        </c:ser>
        <c:ser>
          <c:idx val="1"/>
          <c:order val="1"/>
          <c:tx>
            <c:strRef>
              <c:f>'calcoli Cliente'!$L$26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14-43D0-8EAF-01CAB96B428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14-43D0-8EAF-01CAB96B4282}"/>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Cliente'!$J$27:$J$30</c:f>
              <c:strCache>
                <c:ptCount val="4"/>
                <c:pt idx="0">
                  <c:v>Fabbisogno mensile</c:v>
                </c:pt>
                <c:pt idx="1">
                  <c:v>Malattia: I.G. - 720 gg.</c:v>
                </c:pt>
                <c:pt idx="2">
                  <c:v>Inv. con suppl. x figli &lt; 18/25 anni</c:v>
                </c:pt>
                <c:pt idx="3">
                  <c:v>Inv. (senza Figli)</c:v>
                </c:pt>
              </c:strCache>
            </c:strRef>
          </c:cat>
          <c:val>
            <c:numRef>
              <c:f>'calcoli Cliente'!$L$27:$L$30</c:f>
              <c:numCache>
                <c:formatCode>#,##0_);\(#,##0\)</c:formatCode>
                <c:ptCount val="4"/>
                <c:pt idx="2">
                  <c:v>0</c:v>
                </c:pt>
              </c:numCache>
            </c:numRef>
          </c:val>
          <c:extLst>
            <c:ext xmlns:c16="http://schemas.microsoft.com/office/drawing/2014/chart" uri="{C3380CC4-5D6E-409C-BE32-E72D297353CC}">
              <c16:uniqueId val="{00000005-3514-43D0-8EAF-01CAB96B4282}"/>
            </c:ext>
          </c:extLst>
        </c:ser>
        <c:ser>
          <c:idx val="2"/>
          <c:order val="2"/>
          <c:tx>
            <c:strRef>
              <c:f>'calcoli Cliente'!$M$26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Cliente'!$J$27:$J$30</c:f>
              <c:strCache>
                <c:ptCount val="4"/>
                <c:pt idx="0">
                  <c:v>Fabbisogno mensile</c:v>
                </c:pt>
                <c:pt idx="1">
                  <c:v>Malattia: I.G. - 720 gg.</c:v>
                </c:pt>
                <c:pt idx="2">
                  <c:v>Inv. con suppl. x figli &lt; 18/25 anni</c:v>
                </c:pt>
                <c:pt idx="3">
                  <c:v>Inv. (senza Figli)</c:v>
                </c:pt>
              </c:strCache>
            </c:strRef>
          </c:cat>
          <c:val>
            <c:numRef>
              <c:f>'calcoli Cliente'!$M$27:$M$30</c:f>
              <c:numCache>
                <c:formatCode>#,##0_);\(#,##0\)</c:formatCode>
                <c:ptCount val="4"/>
                <c:pt idx="2">
                  <c:v>0</c:v>
                </c:pt>
                <c:pt idx="3">
                  <c:v>0</c:v>
                </c:pt>
              </c:numCache>
            </c:numRef>
          </c:val>
          <c:extLst>
            <c:ext xmlns:c16="http://schemas.microsoft.com/office/drawing/2014/chart" uri="{C3380CC4-5D6E-409C-BE32-E72D297353CC}">
              <c16:uniqueId val="{00000006-3514-43D0-8EAF-01CAB96B4282}"/>
            </c:ext>
          </c:extLst>
        </c:ser>
        <c:ser>
          <c:idx val="3"/>
          <c:order val="3"/>
          <c:tx>
            <c:strRef>
              <c:f>'calcoli Cliente'!$N$26</c:f>
              <c:strCache>
                <c:ptCount val="1"/>
                <c:pt idx="0">
                  <c:v>Rend. suppl. LPP figli</c:v>
                </c:pt>
              </c:strCache>
            </c:strRef>
          </c:tx>
          <c:spPr>
            <a:solidFill>
              <a:srgbClr val="AAEEEC"/>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14-43D0-8EAF-01CAB96B4282}"/>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Cliente'!$J$27:$J$30</c:f>
              <c:strCache>
                <c:ptCount val="4"/>
                <c:pt idx="0">
                  <c:v>Fabbisogno mensile</c:v>
                </c:pt>
                <c:pt idx="1">
                  <c:v>Malattia: I.G. - 720 gg.</c:v>
                </c:pt>
                <c:pt idx="2">
                  <c:v>Inv. con suppl. x figli &lt; 18/25 anni</c:v>
                </c:pt>
                <c:pt idx="3">
                  <c:v>Inv. (senza Figli)</c:v>
                </c:pt>
              </c:strCache>
            </c:strRef>
          </c:cat>
          <c:val>
            <c:numRef>
              <c:f>'calcoli Cliente'!$N$27:$N$30</c:f>
              <c:numCache>
                <c:formatCode>#,##0_);\(#,##0\)</c:formatCode>
                <c:ptCount val="4"/>
                <c:pt idx="2">
                  <c:v>0</c:v>
                </c:pt>
              </c:numCache>
            </c:numRef>
          </c:val>
          <c:extLst>
            <c:ext xmlns:c16="http://schemas.microsoft.com/office/drawing/2014/chart" uri="{C3380CC4-5D6E-409C-BE32-E72D297353CC}">
              <c16:uniqueId val="{00000008-3514-43D0-8EAF-01CAB96B4282}"/>
            </c:ext>
          </c:extLst>
        </c:ser>
        <c:ser>
          <c:idx val="4"/>
          <c:order val="4"/>
          <c:tx>
            <c:strRef>
              <c:f>'calcoli Cliente'!$O$26</c:f>
              <c:strCache>
                <c:ptCount val="1"/>
                <c:pt idx="0">
                  <c:v>3. pilastro</c:v>
                </c:pt>
              </c:strCache>
            </c:strRef>
          </c:tx>
          <c:spPr>
            <a:solidFill>
              <a:srgbClr val="3E6CC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Cliente'!$J$27:$J$30</c:f>
              <c:strCache>
                <c:ptCount val="4"/>
                <c:pt idx="0">
                  <c:v>Fabbisogno mensile</c:v>
                </c:pt>
                <c:pt idx="1">
                  <c:v>Malattia: I.G. - 720 gg.</c:v>
                </c:pt>
                <c:pt idx="2">
                  <c:v>Inv. con suppl. x figli &lt; 18/25 anni</c:v>
                </c:pt>
                <c:pt idx="3">
                  <c:v>Inv. (senza Figli)</c:v>
                </c:pt>
              </c:strCache>
            </c:strRef>
          </c:cat>
          <c:val>
            <c:numRef>
              <c:f>'calcoli Cliente'!$O$27:$O$30</c:f>
              <c:numCache>
                <c:formatCode>#,##0_);\(#,##0\)</c:formatCode>
                <c:ptCount val="4"/>
                <c:pt idx="2">
                  <c:v>0</c:v>
                </c:pt>
                <c:pt idx="3">
                  <c:v>0</c:v>
                </c:pt>
              </c:numCache>
            </c:numRef>
          </c:val>
          <c:extLst>
            <c:ext xmlns:c16="http://schemas.microsoft.com/office/drawing/2014/chart" uri="{C3380CC4-5D6E-409C-BE32-E72D297353CC}">
              <c16:uniqueId val="{00000009-3514-43D0-8EAF-01CAB96B4282}"/>
            </c:ext>
          </c:extLst>
        </c:ser>
        <c:ser>
          <c:idx val="5"/>
          <c:order val="5"/>
          <c:tx>
            <c:strRef>
              <c:f>'calcoli Cliente'!$P$26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Cliente'!$J$27:$J$30</c:f>
              <c:strCache>
                <c:ptCount val="4"/>
                <c:pt idx="0">
                  <c:v>Fabbisogno mensile</c:v>
                </c:pt>
                <c:pt idx="1">
                  <c:v>Malattia: I.G. - 720 gg.</c:v>
                </c:pt>
                <c:pt idx="2">
                  <c:v>Inv. con suppl. x figli &lt; 18/25 anni</c:v>
                </c:pt>
                <c:pt idx="3">
                  <c:v>Inv. (senza Figli)</c:v>
                </c:pt>
              </c:strCache>
            </c:strRef>
          </c:cat>
          <c:val>
            <c:numRef>
              <c:f>'calcoli Cliente'!$P$27:$P$30</c:f>
              <c:numCache>
                <c:formatCode>#,##0_);\(#,##0\)</c:formatCode>
                <c:ptCount val="4"/>
                <c:pt idx="1">
                  <c:v>0</c:v>
                </c:pt>
                <c:pt idx="2">
                  <c:v>-1260</c:v>
                </c:pt>
                <c:pt idx="3">
                  <c:v>-1260</c:v>
                </c:pt>
              </c:numCache>
            </c:numRef>
          </c:val>
          <c:extLst>
            <c:ext xmlns:c16="http://schemas.microsoft.com/office/drawing/2014/chart" uri="{C3380CC4-5D6E-409C-BE32-E72D297353CC}">
              <c16:uniqueId val="{0000000A-3514-43D0-8EAF-01CAB96B4282}"/>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A54A-45E8-9710-17196EE0C3D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B-A54A-45E8-9710-17196EE0C3D9}"/>
              </c:ext>
            </c:extLst>
          </c:dPt>
          <c:dPt>
            <c:idx val="2"/>
            <c:invertIfNegative val="0"/>
            <c:bubble3D val="0"/>
            <c:spPr>
              <a:solidFill>
                <a:srgbClr val="5D84CB"/>
              </a:solidFill>
              <a:ln>
                <a:noFill/>
              </a:ln>
              <a:effectLst/>
            </c:spPr>
            <c:extLst>
              <c:ext xmlns:c16="http://schemas.microsoft.com/office/drawing/2014/chart" uri="{C3380CC4-5D6E-409C-BE32-E72D297353CC}">
                <c16:uniqueId val="{0000000C-A54A-45E8-9710-17196EE0C3D9}"/>
              </c:ext>
            </c:extLst>
          </c:dPt>
          <c:dPt>
            <c:idx val="3"/>
            <c:invertIfNegative val="0"/>
            <c:bubble3D val="0"/>
            <c:spPr>
              <a:solidFill>
                <a:srgbClr val="5D84CB"/>
              </a:solidFill>
              <a:ln>
                <a:noFill/>
              </a:ln>
              <a:effectLst/>
            </c:spPr>
            <c:extLst>
              <c:ext xmlns:c16="http://schemas.microsoft.com/office/drawing/2014/chart" uri="{C3380CC4-5D6E-409C-BE32-E72D297353CC}">
                <c16:uniqueId val="{0000000D-A54A-45E8-9710-17196EE0C3D9}"/>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2-A54A-45E8-9710-17196EE0C3D9}"/>
            </c:ext>
          </c:extLst>
        </c:ser>
        <c:ser>
          <c:idx val="1"/>
          <c:order val="1"/>
          <c:tx>
            <c:strRef>
              <c:f>'calcoli Cliente'!$T$26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4A-45E8-9710-17196EE0C3D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4A-45E8-9710-17196EE0C3D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5-A54A-45E8-9710-17196EE0C3D9}"/>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6-A54A-45E8-9710-17196EE0C3D9}"/>
            </c:ext>
          </c:extLst>
        </c:ser>
        <c:ser>
          <c:idx val="3"/>
          <c:order val="3"/>
          <c:tx>
            <c:strRef>
              <c:f>'calcoli Cliente'!$V$26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4A-45E8-9710-17196EE0C3D9}"/>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8-A54A-45E8-9710-17196EE0C3D9}"/>
            </c:ext>
          </c:extLst>
        </c:ser>
        <c:ser>
          <c:idx val="4"/>
          <c:order val="4"/>
          <c:tx>
            <c:strRef>
              <c:f>'calcoli Cliente'!$W$26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A-A54A-45E8-9710-17196EE0C3D9}"/>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Cliente'!$K$32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1F57-4ED7-9CD1-E60BF4602EAC}"/>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1F57-4ED7-9CD1-E60BF4602EAC}"/>
              </c:ext>
            </c:extLst>
          </c:dPt>
          <c:dPt>
            <c:idx val="2"/>
            <c:invertIfNegative val="0"/>
            <c:bubble3D val="0"/>
            <c:spPr>
              <a:solidFill>
                <a:srgbClr val="5D84CB"/>
              </a:solidFill>
              <a:ln>
                <a:noFill/>
              </a:ln>
              <a:effectLst/>
            </c:spPr>
            <c:extLst>
              <c:ext xmlns:c16="http://schemas.microsoft.com/office/drawing/2014/chart" uri="{C3380CC4-5D6E-409C-BE32-E72D297353CC}">
                <c16:uniqueId val="{00000005-1F57-4ED7-9CD1-E60BF4602EAC}"/>
              </c:ext>
            </c:extLst>
          </c:dPt>
          <c:dPt>
            <c:idx val="3"/>
            <c:invertIfNegative val="0"/>
            <c:bubble3D val="0"/>
            <c:spPr>
              <a:solidFill>
                <a:srgbClr val="5D84CB"/>
              </a:solidFill>
              <a:ln>
                <a:noFill/>
              </a:ln>
              <a:effectLst/>
            </c:spPr>
            <c:extLst>
              <c:ext xmlns:c16="http://schemas.microsoft.com/office/drawing/2014/chart" uri="{C3380CC4-5D6E-409C-BE32-E72D297353CC}">
                <c16:uniqueId val="{00000007-1F57-4ED7-9CD1-E60BF4602EAC}"/>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Cliente'!$K$33:$K$35</c:f>
              <c:numCache>
                <c:formatCode>#,##0</c:formatCode>
                <c:ptCount val="3"/>
                <c:pt idx="0">
                  <c:v>0</c:v>
                </c:pt>
                <c:pt idx="1">
                  <c:v>0</c:v>
                </c:pt>
                <c:pt idx="2">
                  <c:v>0</c:v>
                </c:pt>
              </c:numCache>
            </c:numRef>
          </c:val>
          <c:extLst>
            <c:ext xmlns:c16="http://schemas.microsoft.com/office/drawing/2014/chart" uri="{C3380CC4-5D6E-409C-BE32-E72D297353CC}">
              <c16:uniqueId val="{00000008-1F57-4ED7-9CD1-E60BF4602EAC}"/>
            </c:ext>
          </c:extLst>
        </c:ser>
        <c:ser>
          <c:idx val="1"/>
          <c:order val="1"/>
          <c:tx>
            <c:strRef>
              <c:f>'calcoli Cliente'!$L$32</c:f>
              <c:strCache>
                <c:ptCount val="1"/>
                <c:pt idx="0">
                  <c:v>Rend. suppl. AVS figli</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Cliente'!$L$33:$L$35</c:f>
              <c:numCache>
                <c:formatCode>#,##0</c:formatCode>
                <c:ptCount val="3"/>
                <c:pt idx="1">
                  <c:v>0</c:v>
                </c:pt>
              </c:numCache>
            </c:numRef>
          </c:val>
          <c:extLst>
            <c:ext xmlns:c16="http://schemas.microsoft.com/office/drawing/2014/chart" uri="{C3380CC4-5D6E-409C-BE32-E72D297353CC}">
              <c16:uniqueId val="{00000009-1F57-4ED7-9CD1-E60BF4602EAC}"/>
            </c:ext>
          </c:extLst>
        </c:ser>
        <c:ser>
          <c:idx val="2"/>
          <c:order val="2"/>
          <c:tx>
            <c:strRef>
              <c:f>'calcoli Cliente'!$M$32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Cliente'!$M$33:$M$35</c:f>
              <c:numCache>
                <c:formatCode>#,##0</c:formatCode>
                <c:ptCount val="3"/>
                <c:pt idx="1">
                  <c:v>0</c:v>
                </c:pt>
                <c:pt idx="2">
                  <c:v>0</c:v>
                </c:pt>
              </c:numCache>
            </c:numRef>
          </c:val>
          <c:extLst>
            <c:ext xmlns:c16="http://schemas.microsoft.com/office/drawing/2014/chart" uri="{C3380CC4-5D6E-409C-BE32-E72D297353CC}">
              <c16:uniqueId val="{0000000A-1F57-4ED7-9CD1-E60BF4602EAC}"/>
            </c:ext>
          </c:extLst>
        </c:ser>
        <c:ser>
          <c:idx val="3"/>
          <c:order val="3"/>
          <c:tx>
            <c:strRef>
              <c:f>'calcoli Cliente'!$N$32</c:f>
              <c:strCache>
                <c:ptCount val="1"/>
                <c:pt idx="0">
                  <c:v>Rend. suppl. LPP figli</c:v>
                </c:pt>
              </c:strCache>
            </c:strRef>
          </c:tx>
          <c:spPr>
            <a:solidFill>
              <a:srgbClr val="AAEEEC"/>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F57-4ED7-9CD1-E60BF4602EAC}"/>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Cliente'!$N$33:$N$35</c:f>
              <c:numCache>
                <c:formatCode>#,##0</c:formatCode>
                <c:ptCount val="3"/>
                <c:pt idx="1">
                  <c:v>0</c:v>
                </c:pt>
              </c:numCache>
            </c:numRef>
          </c:val>
          <c:extLst>
            <c:ext xmlns:c16="http://schemas.microsoft.com/office/drawing/2014/chart" uri="{C3380CC4-5D6E-409C-BE32-E72D297353CC}">
              <c16:uniqueId val="{0000000C-1F57-4ED7-9CD1-E60BF4602EAC}"/>
            </c:ext>
          </c:extLst>
        </c:ser>
        <c:ser>
          <c:idx val="4"/>
          <c:order val="4"/>
          <c:tx>
            <c:strRef>
              <c:f>'calcoli Cliente'!$O$32</c:f>
              <c:strCache>
                <c:ptCount val="1"/>
                <c:pt idx="0">
                  <c:v>3. pilastro</c:v>
                </c:pt>
              </c:strCache>
            </c:strRef>
          </c:tx>
          <c:spPr>
            <a:solidFill>
              <a:srgbClr val="3E6CC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Cliente'!$O$33:$O$35</c:f>
              <c:numCache>
                <c:formatCode>#,##0</c:formatCode>
                <c:ptCount val="3"/>
                <c:pt idx="1">
                  <c:v>0</c:v>
                </c:pt>
                <c:pt idx="2">
                  <c:v>0</c:v>
                </c:pt>
              </c:numCache>
            </c:numRef>
          </c:val>
          <c:extLst>
            <c:ext xmlns:c16="http://schemas.microsoft.com/office/drawing/2014/chart" uri="{C3380CC4-5D6E-409C-BE32-E72D297353CC}">
              <c16:uniqueId val="{0000000D-1F57-4ED7-9CD1-E60BF4602EAC}"/>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7074-4C75-9EF2-F1BCFD262AC3}"/>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074-4C75-9EF2-F1BCFD262AC3}"/>
              </c:ext>
            </c:extLst>
          </c:dPt>
          <c:dPt>
            <c:idx val="2"/>
            <c:invertIfNegative val="0"/>
            <c:bubble3D val="0"/>
            <c:spPr>
              <a:solidFill>
                <a:srgbClr val="5D84CB"/>
              </a:solidFill>
              <a:ln>
                <a:noFill/>
              </a:ln>
              <a:effectLst/>
            </c:spPr>
            <c:extLst>
              <c:ext xmlns:c16="http://schemas.microsoft.com/office/drawing/2014/chart" uri="{C3380CC4-5D6E-409C-BE32-E72D297353CC}">
                <c16:uniqueId val="{00000005-7074-4C75-9EF2-F1BCFD262AC3}"/>
              </c:ext>
            </c:extLst>
          </c:dPt>
          <c:dPt>
            <c:idx val="3"/>
            <c:invertIfNegative val="0"/>
            <c:bubble3D val="0"/>
            <c:spPr>
              <a:solidFill>
                <a:srgbClr val="5D84CB"/>
              </a:solidFill>
              <a:ln>
                <a:noFill/>
              </a:ln>
              <a:effectLst/>
            </c:spPr>
            <c:extLst>
              <c:ext xmlns:c16="http://schemas.microsoft.com/office/drawing/2014/chart" uri="{C3380CC4-5D6E-409C-BE32-E72D297353CC}">
                <c16:uniqueId val="{00000007-7074-4C75-9EF2-F1BCFD262AC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8-7074-4C75-9EF2-F1BCFD262AC3}"/>
            </c:ext>
          </c:extLst>
        </c:ser>
        <c:ser>
          <c:idx val="1"/>
          <c:order val="1"/>
          <c:tx>
            <c:strRef>
              <c:f>'calcoli Cliente'!$T$26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74-4C75-9EF2-F1BCFD262AC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74-4C75-9EF2-F1BCFD262AC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B-7074-4C75-9EF2-F1BCFD262AC3}"/>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C-7074-4C75-9EF2-F1BCFD262AC3}"/>
            </c:ext>
          </c:extLst>
        </c:ser>
        <c:ser>
          <c:idx val="3"/>
          <c:order val="3"/>
          <c:tx>
            <c:strRef>
              <c:f>'calcoli Cliente'!$V$26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74-4C75-9EF2-F1BCFD262AC3}"/>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E-7074-4C75-9EF2-F1BCFD262AC3}"/>
            </c:ext>
          </c:extLst>
        </c:ser>
        <c:ser>
          <c:idx val="4"/>
          <c:order val="4"/>
          <c:tx>
            <c:strRef>
              <c:f>'calcoli Cliente'!$W$26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F-7074-4C75-9EF2-F1BCFD262AC3}"/>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3306-44E1-A833-77DDD8F84CE0}"/>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306-44E1-A833-77DDD8F84CE0}"/>
              </c:ext>
            </c:extLst>
          </c:dPt>
          <c:dPt>
            <c:idx val="2"/>
            <c:invertIfNegative val="0"/>
            <c:bubble3D val="0"/>
            <c:spPr>
              <a:solidFill>
                <a:srgbClr val="5D84CB"/>
              </a:solidFill>
              <a:ln>
                <a:noFill/>
              </a:ln>
              <a:effectLst/>
            </c:spPr>
            <c:extLst>
              <c:ext xmlns:c16="http://schemas.microsoft.com/office/drawing/2014/chart" uri="{C3380CC4-5D6E-409C-BE32-E72D297353CC}">
                <c16:uniqueId val="{00000005-3306-44E1-A833-77DDD8F84CE0}"/>
              </c:ext>
            </c:extLst>
          </c:dPt>
          <c:dPt>
            <c:idx val="3"/>
            <c:invertIfNegative val="0"/>
            <c:bubble3D val="0"/>
            <c:spPr>
              <a:solidFill>
                <a:srgbClr val="5D84CB"/>
              </a:solidFill>
              <a:ln>
                <a:noFill/>
              </a:ln>
              <a:effectLst/>
            </c:spPr>
            <c:extLst>
              <c:ext xmlns:c16="http://schemas.microsoft.com/office/drawing/2014/chart" uri="{C3380CC4-5D6E-409C-BE32-E72D297353CC}">
                <c16:uniqueId val="{00000007-3306-44E1-A833-77DDD8F84CE0}"/>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Cliente'!$S$33:$S$35</c:f>
              <c:numCache>
                <c:formatCode>#,##0</c:formatCode>
                <c:ptCount val="3"/>
                <c:pt idx="0">
                  <c:v>0</c:v>
                </c:pt>
                <c:pt idx="1">
                  <c:v>0</c:v>
                </c:pt>
                <c:pt idx="2">
                  <c:v>0</c:v>
                </c:pt>
              </c:numCache>
            </c:numRef>
          </c:val>
          <c:extLst>
            <c:ext xmlns:c16="http://schemas.microsoft.com/office/drawing/2014/chart" uri="{C3380CC4-5D6E-409C-BE32-E72D297353CC}">
              <c16:uniqueId val="{00000008-3306-44E1-A833-77DDD8F84CE0}"/>
            </c:ext>
          </c:extLst>
        </c:ser>
        <c:ser>
          <c:idx val="1"/>
          <c:order val="1"/>
          <c:tx>
            <c:strRef>
              <c:f>'calcoli Cliente'!$T$32</c:f>
              <c:strCache>
                <c:ptCount val="1"/>
                <c:pt idx="0">
                  <c:v>Rend. suppl. AVS figli</c:v>
                </c:pt>
              </c:strCache>
            </c:strRef>
          </c:tx>
          <c:spPr>
            <a:solidFill>
              <a:srgbClr val="A0B7E0"/>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06-44E1-A833-77DDD8F84C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Cliente'!$T$33:$T$35</c:f>
              <c:numCache>
                <c:formatCode>#,##0</c:formatCode>
                <c:ptCount val="3"/>
                <c:pt idx="1">
                  <c:v>0</c:v>
                </c:pt>
              </c:numCache>
            </c:numRef>
          </c:val>
          <c:extLst>
            <c:ext xmlns:c16="http://schemas.microsoft.com/office/drawing/2014/chart" uri="{C3380CC4-5D6E-409C-BE32-E72D297353CC}">
              <c16:uniqueId val="{0000000A-3306-44E1-A833-77DDD8F84CE0}"/>
            </c:ext>
          </c:extLst>
        </c:ser>
        <c:ser>
          <c:idx val="2"/>
          <c:order val="2"/>
          <c:tx>
            <c:strRef>
              <c:f>'calcoli Cliente'!$U$32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Cliente'!$U$33:$U$35</c:f>
              <c:numCache>
                <c:formatCode>#,##0</c:formatCode>
                <c:ptCount val="3"/>
                <c:pt idx="1">
                  <c:v>0</c:v>
                </c:pt>
                <c:pt idx="2">
                  <c:v>0</c:v>
                </c:pt>
              </c:numCache>
            </c:numRef>
          </c:val>
          <c:extLst>
            <c:ext xmlns:c16="http://schemas.microsoft.com/office/drawing/2014/chart" uri="{C3380CC4-5D6E-409C-BE32-E72D297353CC}">
              <c16:uniqueId val="{0000000B-3306-44E1-A833-77DDD8F84CE0}"/>
            </c:ext>
          </c:extLst>
        </c:ser>
        <c:ser>
          <c:idx val="3"/>
          <c:order val="3"/>
          <c:tx>
            <c:strRef>
              <c:f>'calcoli Cliente'!$V$32</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306-44E1-A833-77DDD8F84CE0}"/>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Cliente'!$V$33:$V$35</c:f>
              <c:numCache>
                <c:formatCode>#,##0</c:formatCode>
                <c:ptCount val="3"/>
                <c:pt idx="1">
                  <c:v>0</c:v>
                </c:pt>
              </c:numCache>
            </c:numRef>
          </c:val>
          <c:extLst>
            <c:ext xmlns:c16="http://schemas.microsoft.com/office/drawing/2014/chart" uri="{C3380CC4-5D6E-409C-BE32-E72D297353CC}">
              <c16:uniqueId val="{0000000D-3306-44E1-A833-77DDD8F84CE0}"/>
            </c:ext>
          </c:extLst>
        </c:ser>
        <c:ser>
          <c:idx val="4"/>
          <c:order val="4"/>
          <c:tx>
            <c:strRef>
              <c:f>'calcoli Cliente'!$W$32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Cliente'!$W$33:$W$35</c:f>
              <c:numCache>
                <c:formatCode>#,##0</c:formatCode>
                <c:ptCount val="3"/>
                <c:pt idx="1">
                  <c:v>0</c:v>
                </c:pt>
                <c:pt idx="2">
                  <c:v>0</c:v>
                </c:pt>
              </c:numCache>
            </c:numRef>
          </c:val>
          <c:extLst>
            <c:ext xmlns:c16="http://schemas.microsoft.com/office/drawing/2014/chart" uri="{C3380CC4-5D6E-409C-BE32-E72D297353CC}">
              <c16:uniqueId val="{0000000E-3306-44E1-A833-77DDD8F84CE0}"/>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Cliente'!$K$47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87F9-440A-A3AF-1F69F5DE3A58}"/>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87F9-440A-A3AF-1F69F5DE3A58}"/>
              </c:ext>
            </c:extLst>
          </c:dPt>
          <c:dPt>
            <c:idx val="2"/>
            <c:invertIfNegative val="0"/>
            <c:bubble3D val="0"/>
            <c:spPr>
              <a:solidFill>
                <a:srgbClr val="5D84CB"/>
              </a:solidFill>
              <a:ln>
                <a:noFill/>
              </a:ln>
              <a:effectLst/>
            </c:spPr>
            <c:extLst>
              <c:ext xmlns:c16="http://schemas.microsoft.com/office/drawing/2014/chart" uri="{C3380CC4-5D6E-409C-BE32-E72D297353CC}">
                <c16:uniqueId val="{00000005-87F9-440A-A3AF-1F69F5DE3A58}"/>
              </c:ext>
            </c:extLst>
          </c:dPt>
          <c:dPt>
            <c:idx val="3"/>
            <c:invertIfNegative val="0"/>
            <c:bubble3D val="0"/>
            <c:spPr>
              <a:solidFill>
                <a:srgbClr val="5D84CB"/>
              </a:solidFill>
              <a:ln>
                <a:noFill/>
              </a:ln>
              <a:effectLst/>
            </c:spPr>
            <c:extLst>
              <c:ext xmlns:c16="http://schemas.microsoft.com/office/drawing/2014/chart" uri="{C3380CC4-5D6E-409C-BE32-E72D297353CC}">
                <c16:uniqueId val="{00000007-87F9-440A-A3AF-1F69F5DE3A58}"/>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Cliente'!$K$48:$K$50</c:f>
              <c:numCache>
                <c:formatCode>#,##0</c:formatCode>
                <c:ptCount val="3"/>
                <c:pt idx="0">
                  <c:v>0</c:v>
                </c:pt>
                <c:pt idx="1">
                  <c:v>1260</c:v>
                </c:pt>
                <c:pt idx="2">
                  <c:v>1260</c:v>
                </c:pt>
              </c:numCache>
            </c:numRef>
          </c:val>
          <c:extLst>
            <c:ext xmlns:c16="http://schemas.microsoft.com/office/drawing/2014/chart" uri="{C3380CC4-5D6E-409C-BE32-E72D297353CC}">
              <c16:uniqueId val="{00000008-87F9-440A-A3AF-1F69F5DE3A58}"/>
            </c:ext>
          </c:extLst>
        </c:ser>
        <c:ser>
          <c:idx val="1"/>
          <c:order val="1"/>
          <c:tx>
            <c:strRef>
              <c:f>'calcoli Cliente'!$L$47</c:f>
              <c:strCache>
                <c:ptCount val="1"/>
                <c:pt idx="0">
                  <c:v>LPP</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Cliente'!$L$48:$L$50</c:f>
              <c:numCache>
                <c:formatCode>#,##0</c:formatCode>
                <c:ptCount val="3"/>
                <c:pt idx="1">
                  <c:v>0</c:v>
                </c:pt>
                <c:pt idx="2">
                  <c:v>0</c:v>
                </c:pt>
              </c:numCache>
            </c:numRef>
          </c:val>
          <c:extLst>
            <c:ext xmlns:c16="http://schemas.microsoft.com/office/drawing/2014/chart" uri="{C3380CC4-5D6E-409C-BE32-E72D297353CC}">
              <c16:uniqueId val="{00000009-87F9-440A-A3AF-1F69F5DE3A58}"/>
            </c:ext>
          </c:extLst>
        </c:ser>
        <c:ser>
          <c:idx val="2"/>
          <c:order val="2"/>
          <c:tx>
            <c:strRef>
              <c:f>'calcoli Cliente'!$M$47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Cliente'!$M$48:$M$50</c:f>
              <c:numCache>
                <c:formatCode>#,##0</c:formatCode>
                <c:ptCount val="3"/>
                <c:pt idx="1">
                  <c:v>0</c:v>
                </c:pt>
                <c:pt idx="2">
                  <c:v>0</c:v>
                </c:pt>
              </c:numCache>
            </c:numRef>
          </c:val>
          <c:extLst>
            <c:ext xmlns:c16="http://schemas.microsoft.com/office/drawing/2014/chart" uri="{C3380CC4-5D6E-409C-BE32-E72D297353CC}">
              <c16:uniqueId val="{0000000A-87F9-440A-A3AF-1F69F5DE3A58}"/>
            </c:ext>
          </c:extLst>
        </c:ser>
        <c:ser>
          <c:idx val="3"/>
          <c:order val="3"/>
          <c:tx>
            <c:strRef>
              <c:f>'calcoli Cliente'!$N$47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F9-440A-A3AF-1F69F5DE3A58}"/>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Cliente'!$N$48:$N$50</c:f>
              <c:numCache>
                <c:formatCode>#,##0</c:formatCode>
                <c:ptCount val="3"/>
                <c:pt idx="1">
                  <c:v>0</c:v>
                </c:pt>
                <c:pt idx="2">
                  <c:v>0</c:v>
                </c:pt>
              </c:numCache>
            </c:numRef>
          </c:val>
          <c:extLst>
            <c:ext xmlns:c16="http://schemas.microsoft.com/office/drawing/2014/chart" uri="{C3380CC4-5D6E-409C-BE32-E72D297353CC}">
              <c16:uniqueId val="{0000000C-87F9-440A-A3AF-1F69F5DE3A58}"/>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7885-4684-A602-85F97573E036}"/>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885-4684-A602-85F97573E036}"/>
              </c:ext>
            </c:extLst>
          </c:dPt>
          <c:dPt>
            <c:idx val="2"/>
            <c:invertIfNegative val="0"/>
            <c:bubble3D val="0"/>
            <c:spPr>
              <a:solidFill>
                <a:srgbClr val="5D84CB"/>
              </a:solidFill>
              <a:ln>
                <a:noFill/>
              </a:ln>
              <a:effectLst/>
            </c:spPr>
            <c:extLst>
              <c:ext xmlns:c16="http://schemas.microsoft.com/office/drawing/2014/chart" uri="{C3380CC4-5D6E-409C-BE32-E72D297353CC}">
                <c16:uniqueId val="{00000005-7885-4684-A602-85F97573E036}"/>
              </c:ext>
            </c:extLst>
          </c:dPt>
          <c:dPt>
            <c:idx val="3"/>
            <c:invertIfNegative val="0"/>
            <c:bubble3D val="0"/>
            <c:spPr>
              <a:solidFill>
                <a:srgbClr val="5D84CB"/>
              </a:solidFill>
              <a:ln>
                <a:noFill/>
              </a:ln>
              <a:effectLst/>
            </c:spPr>
            <c:extLst>
              <c:ext xmlns:c16="http://schemas.microsoft.com/office/drawing/2014/chart" uri="{C3380CC4-5D6E-409C-BE32-E72D297353CC}">
                <c16:uniqueId val="{00000007-7885-4684-A602-85F97573E036}"/>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8-7885-4684-A602-85F97573E036}"/>
            </c:ext>
          </c:extLst>
        </c:ser>
        <c:ser>
          <c:idx val="1"/>
          <c:order val="1"/>
          <c:tx>
            <c:strRef>
              <c:f>'calcoli Cliente'!$T$26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85-4684-A602-85F97573E03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85-4684-A602-85F97573E03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B-7885-4684-A602-85F97573E036}"/>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C-7885-4684-A602-85F97573E036}"/>
            </c:ext>
          </c:extLst>
        </c:ser>
        <c:ser>
          <c:idx val="3"/>
          <c:order val="3"/>
          <c:tx>
            <c:strRef>
              <c:f>'calcoli Cliente'!$V$26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85-4684-A602-85F97573E036}"/>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E-7885-4684-A602-85F97573E036}"/>
            </c:ext>
          </c:extLst>
        </c:ser>
        <c:ser>
          <c:idx val="4"/>
          <c:order val="4"/>
          <c:tx>
            <c:strRef>
              <c:f>'calcoli Cliente'!$W$26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F-7885-4684-A602-85F97573E036}"/>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Cliente'!$Q$47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3607-4876-9E95-B7EDA87ACBE4}"/>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607-4876-9E95-B7EDA87ACBE4}"/>
              </c:ext>
            </c:extLst>
          </c:dPt>
          <c:dPt>
            <c:idx val="2"/>
            <c:invertIfNegative val="0"/>
            <c:bubble3D val="0"/>
            <c:spPr>
              <a:solidFill>
                <a:srgbClr val="5D84CB"/>
              </a:solidFill>
              <a:ln>
                <a:noFill/>
              </a:ln>
              <a:effectLst/>
            </c:spPr>
            <c:extLst>
              <c:ext xmlns:c16="http://schemas.microsoft.com/office/drawing/2014/chart" uri="{C3380CC4-5D6E-409C-BE32-E72D297353CC}">
                <c16:uniqueId val="{00000005-3607-4876-9E95-B7EDA87ACBE4}"/>
              </c:ext>
            </c:extLst>
          </c:dPt>
          <c:dPt>
            <c:idx val="3"/>
            <c:invertIfNegative val="0"/>
            <c:bubble3D val="0"/>
            <c:spPr>
              <a:solidFill>
                <a:srgbClr val="5D84CB"/>
              </a:solidFill>
              <a:ln>
                <a:noFill/>
              </a:ln>
              <a:effectLst/>
            </c:spPr>
            <c:extLst>
              <c:ext xmlns:c16="http://schemas.microsoft.com/office/drawing/2014/chart" uri="{C3380CC4-5D6E-409C-BE32-E72D297353CC}">
                <c16:uniqueId val="{00000007-3607-4876-9E95-B7EDA87ACBE4}"/>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Cliente'!$Q$48:$Q$50</c:f>
              <c:numCache>
                <c:formatCode>#,##0</c:formatCode>
                <c:ptCount val="3"/>
                <c:pt idx="0">
                  <c:v>0</c:v>
                </c:pt>
                <c:pt idx="1">
                  <c:v>1260</c:v>
                </c:pt>
                <c:pt idx="2">
                  <c:v>1260</c:v>
                </c:pt>
              </c:numCache>
            </c:numRef>
          </c:val>
          <c:extLst>
            <c:ext xmlns:c16="http://schemas.microsoft.com/office/drawing/2014/chart" uri="{C3380CC4-5D6E-409C-BE32-E72D297353CC}">
              <c16:uniqueId val="{00000008-3607-4876-9E95-B7EDA87ACBE4}"/>
            </c:ext>
          </c:extLst>
        </c:ser>
        <c:ser>
          <c:idx val="1"/>
          <c:order val="1"/>
          <c:tx>
            <c:strRef>
              <c:f>'calcoli Cliente'!$R$47</c:f>
              <c:strCache>
                <c:ptCount val="1"/>
                <c:pt idx="0">
                  <c:v>LPP</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Cliente'!$R$48:$R$50</c:f>
              <c:numCache>
                <c:formatCode>#,##0</c:formatCode>
                <c:ptCount val="3"/>
                <c:pt idx="1">
                  <c:v>0</c:v>
                </c:pt>
                <c:pt idx="2">
                  <c:v>0</c:v>
                </c:pt>
              </c:numCache>
            </c:numRef>
          </c:val>
          <c:extLst>
            <c:ext xmlns:c16="http://schemas.microsoft.com/office/drawing/2014/chart" uri="{C3380CC4-5D6E-409C-BE32-E72D297353CC}">
              <c16:uniqueId val="{00000009-3607-4876-9E95-B7EDA87ACBE4}"/>
            </c:ext>
          </c:extLst>
        </c:ser>
        <c:ser>
          <c:idx val="2"/>
          <c:order val="2"/>
          <c:tx>
            <c:strRef>
              <c:f>'calcoli Cliente'!$S$47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Cliente'!$S$48:$S$50</c:f>
              <c:numCache>
                <c:formatCode>#,##0</c:formatCode>
                <c:ptCount val="3"/>
              </c:numCache>
            </c:numRef>
          </c:val>
          <c:extLst>
            <c:ext xmlns:c16="http://schemas.microsoft.com/office/drawing/2014/chart" uri="{C3380CC4-5D6E-409C-BE32-E72D297353CC}">
              <c16:uniqueId val="{0000000A-3607-4876-9E95-B7EDA87ACBE4}"/>
            </c:ext>
          </c:extLst>
        </c:ser>
        <c:ser>
          <c:idx val="3"/>
          <c:order val="3"/>
          <c:tx>
            <c:strRef>
              <c:f>'calcoli Cliente'!$T$47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07-4876-9E95-B7EDA87ACBE4}"/>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Cliente'!$T$48:$T$50</c:f>
              <c:numCache>
                <c:formatCode>#,##0</c:formatCode>
                <c:ptCount val="3"/>
                <c:pt idx="1">
                  <c:v>0</c:v>
                </c:pt>
                <c:pt idx="2">
                  <c:v>0</c:v>
                </c:pt>
              </c:numCache>
            </c:numRef>
          </c:val>
          <c:extLst>
            <c:ext xmlns:c16="http://schemas.microsoft.com/office/drawing/2014/chart" uri="{C3380CC4-5D6E-409C-BE32-E72D297353CC}">
              <c16:uniqueId val="{0000000C-3607-4876-9E95-B7EDA87ACBE4}"/>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Partner'!$K$26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44FB-42EB-A345-AAFC1C631CFB}"/>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44FB-42EB-A345-AAFC1C631CFB}"/>
              </c:ext>
            </c:extLst>
          </c:dPt>
          <c:dPt>
            <c:idx val="2"/>
            <c:invertIfNegative val="0"/>
            <c:bubble3D val="0"/>
            <c:spPr>
              <a:solidFill>
                <a:srgbClr val="5D84CB"/>
              </a:solidFill>
              <a:ln>
                <a:noFill/>
              </a:ln>
              <a:effectLst/>
            </c:spPr>
            <c:extLst>
              <c:ext xmlns:c16="http://schemas.microsoft.com/office/drawing/2014/chart" uri="{C3380CC4-5D6E-409C-BE32-E72D297353CC}">
                <c16:uniqueId val="{00000005-44FB-42EB-A345-AAFC1C631CFB}"/>
              </c:ext>
            </c:extLst>
          </c:dPt>
          <c:dPt>
            <c:idx val="3"/>
            <c:invertIfNegative val="0"/>
            <c:bubble3D val="0"/>
            <c:spPr>
              <a:solidFill>
                <a:srgbClr val="5D84CB"/>
              </a:solidFill>
              <a:ln>
                <a:noFill/>
              </a:ln>
              <a:effectLst/>
            </c:spPr>
            <c:extLst>
              <c:ext xmlns:c16="http://schemas.microsoft.com/office/drawing/2014/chart" uri="{C3380CC4-5D6E-409C-BE32-E72D297353CC}">
                <c16:uniqueId val="{00000007-44FB-42EB-A345-AAFC1C631CFB}"/>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Partner'!$J$27:$J$30</c:f>
              <c:strCache>
                <c:ptCount val="4"/>
                <c:pt idx="0">
                  <c:v>Fabbisogno mensile</c:v>
                </c:pt>
                <c:pt idx="1">
                  <c:v>Malattia: I.G. - 720 gg.</c:v>
                </c:pt>
                <c:pt idx="2">
                  <c:v>Inv. con suppl. x figli &lt; 18/25 anni</c:v>
                </c:pt>
                <c:pt idx="3">
                  <c:v>Inv. (senza Figli)</c:v>
                </c:pt>
              </c:strCache>
            </c:strRef>
          </c:cat>
          <c:val>
            <c:numRef>
              <c:f>'Calcoli Partner'!$K$27:$K$30</c:f>
              <c:numCache>
                <c:formatCode>#,##0_);\(#,##0\)</c:formatCode>
                <c:ptCount val="4"/>
                <c:pt idx="0">
                  <c:v>0</c:v>
                </c:pt>
                <c:pt idx="1">
                  <c:v>0</c:v>
                </c:pt>
                <c:pt idx="2">
                  <c:v>0</c:v>
                </c:pt>
                <c:pt idx="3">
                  <c:v>0</c:v>
                </c:pt>
              </c:numCache>
            </c:numRef>
          </c:val>
          <c:extLst>
            <c:ext xmlns:c16="http://schemas.microsoft.com/office/drawing/2014/chart" uri="{C3380CC4-5D6E-409C-BE32-E72D297353CC}">
              <c16:uniqueId val="{00000008-44FB-42EB-A345-AAFC1C631CFB}"/>
            </c:ext>
          </c:extLst>
        </c:ser>
        <c:ser>
          <c:idx val="1"/>
          <c:order val="1"/>
          <c:tx>
            <c:strRef>
              <c:f>'Calcoli Partner'!$L$26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B-42EB-A345-AAFC1C631CF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FB-42EB-A345-AAFC1C631CFB}"/>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Partner'!$J$27:$J$30</c:f>
              <c:strCache>
                <c:ptCount val="4"/>
                <c:pt idx="0">
                  <c:v>Fabbisogno mensile</c:v>
                </c:pt>
                <c:pt idx="1">
                  <c:v>Malattia: I.G. - 720 gg.</c:v>
                </c:pt>
                <c:pt idx="2">
                  <c:v>Inv. con suppl. x figli &lt; 18/25 anni</c:v>
                </c:pt>
                <c:pt idx="3">
                  <c:v>Inv. (senza Figli)</c:v>
                </c:pt>
              </c:strCache>
            </c:strRef>
          </c:cat>
          <c:val>
            <c:numRef>
              <c:f>'Calcoli Partner'!$L$27:$L$30</c:f>
              <c:numCache>
                <c:formatCode>#,##0_);\(#,##0\)</c:formatCode>
                <c:ptCount val="4"/>
                <c:pt idx="2">
                  <c:v>0</c:v>
                </c:pt>
              </c:numCache>
            </c:numRef>
          </c:val>
          <c:extLst>
            <c:ext xmlns:c16="http://schemas.microsoft.com/office/drawing/2014/chart" uri="{C3380CC4-5D6E-409C-BE32-E72D297353CC}">
              <c16:uniqueId val="{0000000B-44FB-42EB-A345-AAFC1C631CFB}"/>
            </c:ext>
          </c:extLst>
        </c:ser>
        <c:ser>
          <c:idx val="2"/>
          <c:order val="2"/>
          <c:tx>
            <c:strRef>
              <c:f>'Calcoli Partner'!$M$26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Partner'!$J$27:$J$30</c:f>
              <c:strCache>
                <c:ptCount val="4"/>
                <c:pt idx="0">
                  <c:v>Fabbisogno mensile</c:v>
                </c:pt>
                <c:pt idx="1">
                  <c:v>Malattia: I.G. - 720 gg.</c:v>
                </c:pt>
                <c:pt idx="2">
                  <c:v>Inv. con suppl. x figli &lt; 18/25 anni</c:v>
                </c:pt>
                <c:pt idx="3">
                  <c:v>Inv. (senza Figli)</c:v>
                </c:pt>
              </c:strCache>
            </c:strRef>
          </c:cat>
          <c:val>
            <c:numRef>
              <c:f>'Calcoli Partner'!$M$27:$M$30</c:f>
              <c:numCache>
                <c:formatCode>#,##0_);\(#,##0\)</c:formatCode>
                <c:ptCount val="4"/>
                <c:pt idx="2">
                  <c:v>0</c:v>
                </c:pt>
                <c:pt idx="3">
                  <c:v>0</c:v>
                </c:pt>
              </c:numCache>
            </c:numRef>
          </c:val>
          <c:extLst>
            <c:ext xmlns:c16="http://schemas.microsoft.com/office/drawing/2014/chart" uri="{C3380CC4-5D6E-409C-BE32-E72D297353CC}">
              <c16:uniqueId val="{0000000C-44FB-42EB-A345-AAFC1C631CFB}"/>
            </c:ext>
          </c:extLst>
        </c:ser>
        <c:ser>
          <c:idx val="3"/>
          <c:order val="3"/>
          <c:tx>
            <c:strRef>
              <c:f>'Calcoli Partner'!$N$26</c:f>
              <c:strCache>
                <c:ptCount val="1"/>
                <c:pt idx="0">
                  <c:v>Rend. suppl. LPP figli</c:v>
                </c:pt>
              </c:strCache>
            </c:strRef>
          </c:tx>
          <c:spPr>
            <a:solidFill>
              <a:srgbClr val="AAEEEC"/>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FB-42EB-A345-AAFC1C631CFB}"/>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Partner'!$J$27:$J$30</c:f>
              <c:strCache>
                <c:ptCount val="4"/>
                <c:pt idx="0">
                  <c:v>Fabbisogno mensile</c:v>
                </c:pt>
                <c:pt idx="1">
                  <c:v>Malattia: I.G. - 720 gg.</c:v>
                </c:pt>
                <c:pt idx="2">
                  <c:v>Inv. con suppl. x figli &lt; 18/25 anni</c:v>
                </c:pt>
                <c:pt idx="3">
                  <c:v>Inv. (senza Figli)</c:v>
                </c:pt>
              </c:strCache>
            </c:strRef>
          </c:cat>
          <c:val>
            <c:numRef>
              <c:f>'Calcoli Partner'!$N$27:$N$30</c:f>
              <c:numCache>
                <c:formatCode>#,##0_);\(#,##0\)</c:formatCode>
                <c:ptCount val="4"/>
                <c:pt idx="2">
                  <c:v>0</c:v>
                </c:pt>
              </c:numCache>
            </c:numRef>
          </c:val>
          <c:extLst>
            <c:ext xmlns:c16="http://schemas.microsoft.com/office/drawing/2014/chart" uri="{C3380CC4-5D6E-409C-BE32-E72D297353CC}">
              <c16:uniqueId val="{0000000E-44FB-42EB-A345-AAFC1C631CFB}"/>
            </c:ext>
          </c:extLst>
        </c:ser>
        <c:ser>
          <c:idx val="4"/>
          <c:order val="4"/>
          <c:tx>
            <c:strRef>
              <c:f>'Calcoli Partner'!$O$26</c:f>
              <c:strCache>
                <c:ptCount val="1"/>
                <c:pt idx="0">
                  <c:v>3. pilastro</c:v>
                </c:pt>
              </c:strCache>
            </c:strRef>
          </c:tx>
          <c:spPr>
            <a:solidFill>
              <a:srgbClr val="3E6CC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Partner'!$J$27:$J$30</c:f>
              <c:strCache>
                <c:ptCount val="4"/>
                <c:pt idx="0">
                  <c:v>Fabbisogno mensile</c:v>
                </c:pt>
                <c:pt idx="1">
                  <c:v>Malattia: I.G. - 720 gg.</c:v>
                </c:pt>
                <c:pt idx="2">
                  <c:v>Inv. con suppl. x figli &lt; 18/25 anni</c:v>
                </c:pt>
                <c:pt idx="3">
                  <c:v>Inv. (senza Figli)</c:v>
                </c:pt>
              </c:strCache>
            </c:strRef>
          </c:cat>
          <c:val>
            <c:numRef>
              <c:f>'Calcoli Partner'!$O$27:$O$30</c:f>
              <c:numCache>
                <c:formatCode>#,##0_);\(#,##0\)</c:formatCode>
                <c:ptCount val="4"/>
                <c:pt idx="2">
                  <c:v>0</c:v>
                </c:pt>
                <c:pt idx="3">
                  <c:v>0</c:v>
                </c:pt>
              </c:numCache>
            </c:numRef>
          </c:val>
          <c:extLst>
            <c:ext xmlns:c16="http://schemas.microsoft.com/office/drawing/2014/chart" uri="{C3380CC4-5D6E-409C-BE32-E72D297353CC}">
              <c16:uniqueId val="{0000000F-44FB-42EB-A345-AAFC1C631CFB}"/>
            </c:ext>
          </c:extLst>
        </c:ser>
        <c:ser>
          <c:idx val="5"/>
          <c:order val="5"/>
          <c:tx>
            <c:strRef>
              <c:f>'Calcoli Partner'!$P$26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Partner'!$J$27:$J$30</c:f>
              <c:strCache>
                <c:ptCount val="4"/>
                <c:pt idx="0">
                  <c:v>Fabbisogno mensile</c:v>
                </c:pt>
                <c:pt idx="1">
                  <c:v>Malattia: I.G. - 720 gg.</c:v>
                </c:pt>
                <c:pt idx="2">
                  <c:v>Inv. con suppl. x figli &lt; 18/25 anni</c:v>
                </c:pt>
                <c:pt idx="3">
                  <c:v>Inv. (senza Figli)</c:v>
                </c:pt>
              </c:strCache>
            </c:strRef>
          </c:cat>
          <c:val>
            <c:numRef>
              <c:f>'Calcoli Partner'!$P$27:$P$30</c:f>
              <c:numCache>
                <c:formatCode>#,##0_);\(#,##0\)</c:formatCode>
                <c:ptCount val="4"/>
                <c:pt idx="1">
                  <c:v>0</c:v>
                </c:pt>
                <c:pt idx="2">
                  <c:v>0</c:v>
                </c:pt>
                <c:pt idx="3">
                  <c:v>0</c:v>
                </c:pt>
              </c:numCache>
            </c:numRef>
          </c:val>
          <c:extLst>
            <c:ext xmlns:c16="http://schemas.microsoft.com/office/drawing/2014/chart" uri="{C3380CC4-5D6E-409C-BE32-E72D297353CC}">
              <c16:uniqueId val="{00000010-44FB-42EB-A345-AAFC1C631CFB}"/>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0"/>
          <c:w val="0.88368214732400474"/>
          <c:h val="0.6333931851878436"/>
        </c:manualLayout>
      </c:layout>
      <c:barChart>
        <c:barDir val="col"/>
        <c:grouping val="percentStacked"/>
        <c:varyColors val="0"/>
        <c:ser>
          <c:idx val="0"/>
          <c:order val="0"/>
          <c:tx>
            <c:strRef>
              <c:f>'calcoli Cliente'!$S$32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7DB2-4C9C-B4E6-B872D07F1DED}"/>
              </c:ext>
            </c:extLst>
          </c:dPt>
          <c:dPt>
            <c:idx val="1"/>
            <c:invertIfNegative val="0"/>
            <c:bubble3D val="0"/>
            <c:spPr>
              <a:solidFill>
                <a:srgbClr val="2F5291"/>
              </a:solidFill>
              <a:ln>
                <a:noFill/>
              </a:ln>
              <a:effectLst/>
            </c:spPr>
            <c:extLst>
              <c:ext xmlns:c16="http://schemas.microsoft.com/office/drawing/2014/chart" uri="{C3380CC4-5D6E-409C-BE32-E72D297353CC}">
                <c16:uniqueId val="{00000003-7DB2-4C9C-B4E6-B872D07F1DED}"/>
              </c:ext>
            </c:extLst>
          </c:dPt>
          <c:dPt>
            <c:idx val="2"/>
            <c:invertIfNegative val="0"/>
            <c:bubble3D val="0"/>
            <c:spPr>
              <a:solidFill>
                <a:srgbClr val="4B77C5"/>
              </a:solidFill>
              <a:ln>
                <a:noFill/>
              </a:ln>
              <a:effectLst/>
            </c:spPr>
            <c:extLst>
              <c:ext xmlns:c16="http://schemas.microsoft.com/office/drawing/2014/chart" uri="{C3380CC4-5D6E-409C-BE32-E72D297353CC}">
                <c16:uniqueId val="{00000005-7DB2-4C9C-B4E6-B872D07F1DED}"/>
              </c:ext>
            </c:extLst>
          </c:dPt>
          <c:dPt>
            <c:idx val="3"/>
            <c:invertIfNegative val="0"/>
            <c:bubble3D val="0"/>
            <c:spPr>
              <a:solidFill>
                <a:srgbClr val="4B77C5"/>
              </a:solidFill>
              <a:ln>
                <a:noFill/>
              </a:ln>
              <a:effectLst/>
            </c:spPr>
            <c:extLst>
              <c:ext xmlns:c16="http://schemas.microsoft.com/office/drawing/2014/chart" uri="{C3380CC4-5D6E-409C-BE32-E72D297353CC}">
                <c16:uniqueId val="{00000007-7DB2-4C9C-B4E6-B872D07F1DED}"/>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Cliente'!$S$33:$S$35</c:f>
              <c:numCache>
                <c:formatCode>#,##0</c:formatCode>
                <c:ptCount val="3"/>
                <c:pt idx="0">
                  <c:v>0</c:v>
                </c:pt>
                <c:pt idx="1">
                  <c:v>0</c:v>
                </c:pt>
                <c:pt idx="2">
                  <c:v>0</c:v>
                </c:pt>
              </c:numCache>
            </c:numRef>
          </c:val>
          <c:extLst>
            <c:ext xmlns:c16="http://schemas.microsoft.com/office/drawing/2014/chart" uri="{C3380CC4-5D6E-409C-BE32-E72D297353CC}">
              <c16:uniqueId val="{00000008-7DB2-4C9C-B4E6-B872D07F1DED}"/>
            </c:ext>
          </c:extLst>
        </c:ser>
        <c:ser>
          <c:idx val="1"/>
          <c:order val="1"/>
          <c:tx>
            <c:strRef>
              <c:f>'calcoli Cliente'!$T$32</c:f>
              <c:strCache>
                <c:ptCount val="1"/>
                <c:pt idx="0">
                  <c:v>Rend. suppl. AVS figli</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Cliente'!$T$33:$T$35</c:f>
              <c:numCache>
                <c:formatCode>#,##0</c:formatCode>
                <c:ptCount val="3"/>
                <c:pt idx="1">
                  <c:v>0</c:v>
                </c:pt>
              </c:numCache>
            </c:numRef>
          </c:val>
          <c:extLst>
            <c:ext xmlns:c16="http://schemas.microsoft.com/office/drawing/2014/chart" uri="{C3380CC4-5D6E-409C-BE32-E72D297353CC}">
              <c16:uniqueId val="{00000009-7DB2-4C9C-B4E6-B872D07F1DED}"/>
            </c:ext>
          </c:extLst>
        </c:ser>
        <c:ser>
          <c:idx val="2"/>
          <c:order val="2"/>
          <c:tx>
            <c:strRef>
              <c:f>'calcoli Cliente'!$U$32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Cliente'!$U$33:$U$35</c:f>
              <c:numCache>
                <c:formatCode>#,##0</c:formatCode>
                <c:ptCount val="3"/>
                <c:pt idx="1">
                  <c:v>0</c:v>
                </c:pt>
                <c:pt idx="2">
                  <c:v>0</c:v>
                </c:pt>
              </c:numCache>
            </c:numRef>
          </c:val>
          <c:extLst>
            <c:ext xmlns:c16="http://schemas.microsoft.com/office/drawing/2014/chart" uri="{C3380CC4-5D6E-409C-BE32-E72D297353CC}">
              <c16:uniqueId val="{0000000A-7DB2-4C9C-B4E6-B872D07F1DED}"/>
            </c:ext>
          </c:extLst>
        </c:ser>
        <c:ser>
          <c:idx val="3"/>
          <c:order val="3"/>
          <c:tx>
            <c:strRef>
              <c:f>'calcoli Cliente'!$V$32</c:f>
              <c:strCache>
                <c:ptCount val="1"/>
                <c:pt idx="0">
                  <c:v>Rend. suppl. LPP figli</c:v>
                </c:pt>
              </c:strCache>
            </c:strRef>
          </c:tx>
          <c:spPr>
            <a:solidFill>
              <a:srgbClr val="ADEFED"/>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B2-4C9C-B4E6-B872D07F1DED}"/>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Cliente'!$V$33:$V$35</c:f>
              <c:numCache>
                <c:formatCode>#,##0</c:formatCode>
                <c:ptCount val="3"/>
                <c:pt idx="1">
                  <c:v>0</c:v>
                </c:pt>
              </c:numCache>
            </c:numRef>
          </c:val>
          <c:extLst>
            <c:ext xmlns:c16="http://schemas.microsoft.com/office/drawing/2014/chart" uri="{C3380CC4-5D6E-409C-BE32-E72D297353CC}">
              <c16:uniqueId val="{0000000C-7DB2-4C9C-B4E6-B872D07F1DED}"/>
            </c:ext>
          </c:extLst>
        </c:ser>
        <c:ser>
          <c:idx val="4"/>
          <c:order val="4"/>
          <c:tx>
            <c:strRef>
              <c:f>'calcoli Cliente'!$W$32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Cliente'!$W$33:$W$35</c:f>
              <c:numCache>
                <c:formatCode>#,##0</c:formatCode>
                <c:ptCount val="3"/>
                <c:pt idx="1">
                  <c:v>0</c:v>
                </c:pt>
                <c:pt idx="2">
                  <c:v>0</c:v>
                </c:pt>
              </c:numCache>
            </c:numRef>
          </c:val>
          <c:extLst>
            <c:ext xmlns:c16="http://schemas.microsoft.com/office/drawing/2014/chart" uri="{C3380CC4-5D6E-409C-BE32-E72D297353CC}">
              <c16:uniqueId val="{0000000D-7DB2-4C9C-B4E6-B872D07F1DED}"/>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Partner'!$S$26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1951-43D7-9145-E6622F708DF2}"/>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1951-43D7-9145-E6622F708DF2}"/>
              </c:ext>
            </c:extLst>
          </c:dPt>
          <c:dPt>
            <c:idx val="2"/>
            <c:invertIfNegative val="0"/>
            <c:bubble3D val="0"/>
            <c:spPr>
              <a:solidFill>
                <a:srgbClr val="5D84CB"/>
              </a:solidFill>
              <a:ln>
                <a:noFill/>
              </a:ln>
              <a:effectLst/>
            </c:spPr>
            <c:extLst>
              <c:ext xmlns:c16="http://schemas.microsoft.com/office/drawing/2014/chart" uri="{C3380CC4-5D6E-409C-BE32-E72D297353CC}">
                <c16:uniqueId val="{00000005-1951-43D7-9145-E6622F708DF2}"/>
              </c:ext>
            </c:extLst>
          </c:dPt>
          <c:dPt>
            <c:idx val="3"/>
            <c:invertIfNegative val="0"/>
            <c:bubble3D val="0"/>
            <c:spPr>
              <a:solidFill>
                <a:srgbClr val="5D84CB"/>
              </a:solidFill>
              <a:ln>
                <a:noFill/>
              </a:ln>
              <a:effectLst/>
            </c:spPr>
            <c:extLst>
              <c:ext xmlns:c16="http://schemas.microsoft.com/office/drawing/2014/chart" uri="{C3380CC4-5D6E-409C-BE32-E72D297353CC}">
                <c16:uniqueId val="{00000007-1951-43D7-9145-E6622F708DF2}"/>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Partner'!$S$27:$S$30</c:f>
              <c:numCache>
                <c:formatCode>#,##0</c:formatCode>
                <c:ptCount val="4"/>
                <c:pt idx="0">
                  <c:v>0</c:v>
                </c:pt>
                <c:pt idx="1">
                  <c:v>0</c:v>
                </c:pt>
                <c:pt idx="2">
                  <c:v>0</c:v>
                </c:pt>
                <c:pt idx="3">
                  <c:v>0</c:v>
                </c:pt>
              </c:numCache>
            </c:numRef>
          </c:val>
          <c:extLst>
            <c:ext xmlns:c16="http://schemas.microsoft.com/office/drawing/2014/chart" uri="{C3380CC4-5D6E-409C-BE32-E72D297353CC}">
              <c16:uniqueId val="{00000008-1951-43D7-9145-E6622F708DF2}"/>
            </c:ext>
          </c:extLst>
        </c:ser>
        <c:ser>
          <c:idx val="1"/>
          <c:order val="1"/>
          <c:tx>
            <c:strRef>
              <c:f>'Calcoli Partner'!$T$26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51-43D7-9145-E6622F708DF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51-43D7-9145-E6622F708DF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Partner'!$T$27:$T$30</c:f>
              <c:numCache>
                <c:formatCode>#,##0</c:formatCode>
                <c:ptCount val="4"/>
                <c:pt idx="2">
                  <c:v>0</c:v>
                </c:pt>
              </c:numCache>
            </c:numRef>
          </c:val>
          <c:extLst>
            <c:ext xmlns:c16="http://schemas.microsoft.com/office/drawing/2014/chart" uri="{C3380CC4-5D6E-409C-BE32-E72D297353CC}">
              <c16:uniqueId val="{0000000B-1951-43D7-9145-E6622F708DF2}"/>
            </c:ext>
          </c:extLst>
        </c:ser>
        <c:ser>
          <c:idx val="2"/>
          <c:order val="2"/>
          <c:tx>
            <c:strRef>
              <c:f>'Calcoli Partner'!$U$26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Partner'!$U$27:$U$30</c:f>
              <c:numCache>
                <c:formatCode>#,##0</c:formatCode>
                <c:ptCount val="4"/>
                <c:pt idx="2">
                  <c:v>0</c:v>
                </c:pt>
                <c:pt idx="3">
                  <c:v>0</c:v>
                </c:pt>
              </c:numCache>
            </c:numRef>
          </c:val>
          <c:extLst>
            <c:ext xmlns:c16="http://schemas.microsoft.com/office/drawing/2014/chart" uri="{C3380CC4-5D6E-409C-BE32-E72D297353CC}">
              <c16:uniqueId val="{0000000C-1951-43D7-9145-E6622F708DF2}"/>
            </c:ext>
          </c:extLst>
        </c:ser>
        <c:ser>
          <c:idx val="3"/>
          <c:order val="3"/>
          <c:tx>
            <c:strRef>
              <c:f>'Calcoli Partner'!$V$26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51-43D7-9145-E6622F708DF2}"/>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Partner'!$V$27:$V$30</c:f>
              <c:numCache>
                <c:formatCode>#,##0</c:formatCode>
                <c:ptCount val="4"/>
                <c:pt idx="2">
                  <c:v>0</c:v>
                </c:pt>
              </c:numCache>
            </c:numRef>
          </c:val>
          <c:extLst>
            <c:ext xmlns:c16="http://schemas.microsoft.com/office/drawing/2014/chart" uri="{C3380CC4-5D6E-409C-BE32-E72D297353CC}">
              <c16:uniqueId val="{0000000E-1951-43D7-9145-E6622F708DF2}"/>
            </c:ext>
          </c:extLst>
        </c:ser>
        <c:ser>
          <c:idx val="4"/>
          <c:order val="4"/>
          <c:tx>
            <c:strRef>
              <c:f>'Calcoli Partner'!$W$26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Partner'!$W$27:$W$30</c:f>
              <c:numCache>
                <c:formatCode>#,##0</c:formatCode>
                <c:ptCount val="4"/>
                <c:pt idx="1">
                  <c:v>0</c:v>
                </c:pt>
                <c:pt idx="2">
                  <c:v>0</c:v>
                </c:pt>
                <c:pt idx="3">
                  <c:v>0</c:v>
                </c:pt>
              </c:numCache>
            </c:numRef>
          </c:val>
          <c:extLst>
            <c:ext xmlns:c16="http://schemas.microsoft.com/office/drawing/2014/chart" uri="{C3380CC4-5D6E-409C-BE32-E72D297353CC}">
              <c16:uniqueId val="{0000000F-1951-43D7-9145-E6622F708DF2}"/>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Partner'!$K$32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CCEC-46AE-B7A2-B3F2A8E335D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CCEC-46AE-B7A2-B3F2A8E335D5}"/>
              </c:ext>
            </c:extLst>
          </c:dPt>
          <c:dPt>
            <c:idx val="2"/>
            <c:invertIfNegative val="0"/>
            <c:bubble3D val="0"/>
            <c:spPr>
              <a:solidFill>
                <a:srgbClr val="5D84CB"/>
              </a:solidFill>
              <a:ln>
                <a:noFill/>
              </a:ln>
              <a:effectLst/>
            </c:spPr>
            <c:extLst>
              <c:ext xmlns:c16="http://schemas.microsoft.com/office/drawing/2014/chart" uri="{C3380CC4-5D6E-409C-BE32-E72D297353CC}">
                <c16:uniqueId val="{00000005-CCEC-46AE-B7A2-B3F2A8E335D5}"/>
              </c:ext>
            </c:extLst>
          </c:dPt>
          <c:dPt>
            <c:idx val="3"/>
            <c:invertIfNegative val="0"/>
            <c:bubble3D val="0"/>
            <c:spPr>
              <a:solidFill>
                <a:srgbClr val="5D84CB"/>
              </a:solidFill>
              <a:ln>
                <a:noFill/>
              </a:ln>
              <a:effectLst/>
            </c:spPr>
            <c:extLst>
              <c:ext xmlns:c16="http://schemas.microsoft.com/office/drawing/2014/chart" uri="{C3380CC4-5D6E-409C-BE32-E72D297353CC}">
                <c16:uniqueId val="{00000007-CCEC-46AE-B7A2-B3F2A8E335D5}"/>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Partner'!$J$33:$J$35</c:f>
              <c:strCache>
                <c:ptCount val="3"/>
                <c:pt idx="0">
                  <c:v>Fabbisogno mensile</c:v>
                </c:pt>
                <c:pt idx="1">
                  <c:v>Vedovanza (con Figli):</c:v>
                </c:pt>
                <c:pt idx="2">
                  <c:v>Vedovanza (senza Figli):</c:v>
                </c:pt>
              </c:strCache>
            </c:strRef>
          </c:cat>
          <c:val>
            <c:numRef>
              <c:f>'Calcoli Partner'!$K$33:$K$35</c:f>
              <c:numCache>
                <c:formatCode>#,##0</c:formatCode>
                <c:ptCount val="3"/>
                <c:pt idx="0">
                  <c:v>0</c:v>
                </c:pt>
                <c:pt idx="1">
                  <c:v>0</c:v>
                </c:pt>
                <c:pt idx="2">
                  <c:v>0</c:v>
                </c:pt>
              </c:numCache>
            </c:numRef>
          </c:val>
          <c:extLst>
            <c:ext xmlns:c16="http://schemas.microsoft.com/office/drawing/2014/chart" uri="{C3380CC4-5D6E-409C-BE32-E72D297353CC}">
              <c16:uniqueId val="{00000008-CCEC-46AE-B7A2-B3F2A8E335D5}"/>
            </c:ext>
          </c:extLst>
        </c:ser>
        <c:ser>
          <c:idx val="1"/>
          <c:order val="1"/>
          <c:tx>
            <c:strRef>
              <c:f>'Calcoli Partner'!$L$32</c:f>
              <c:strCache>
                <c:ptCount val="1"/>
                <c:pt idx="0">
                  <c:v>Rend. suppl. AVS figli</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Partner'!$J$33:$J$35</c:f>
              <c:strCache>
                <c:ptCount val="3"/>
                <c:pt idx="0">
                  <c:v>Fabbisogno mensile</c:v>
                </c:pt>
                <c:pt idx="1">
                  <c:v>Vedovanza (con Figli):</c:v>
                </c:pt>
                <c:pt idx="2">
                  <c:v>Vedovanza (senza Figli):</c:v>
                </c:pt>
              </c:strCache>
            </c:strRef>
          </c:cat>
          <c:val>
            <c:numRef>
              <c:f>'Calcoli Partner'!$L$33:$L$35</c:f>
              <c:numCache>
                <c:formatCode>#,##0</c:formatCode>
                <c:ptCount val="3"/>
                <c:pt idx="1">
                  <c:v>0</c:v>
                </c:pt>
              </c:numCache>
            </c:numRef>
          </c:val>
          <c:extLst>
            <c:ext xmlns:c16="http://schemas.microsoft.com/office/drawing/2014/chart" uri="{C3380CC4-5D6E-409C-BE32-E72D297353CC}">
              <c16:uniqueId val="{00000009-CCEC-46AE-B7A2-B3F2A8E335D5}"/>
            </c:ext>
          </c:extLst>
        </c:ser>
        <c:ser>
          <c:idx val="2"/>
          <c:order val="2"/>
          <c:tx>
            <c:strRef>
              <c:f>'Calcoli Partner'!$M$32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Partner'!$J$33:$J$35</c:f>
              <c:strCache>
                <c:ptCount val="3"/>
                <c:pt idx="0">
                  <c:v>Fabbisogno mensile</c:v>
                </c:pt>
                <c:pt idx="1">
                  <c:v>Vedovanza (con Figli):</c:v>
                </c:pt>
                <c:pt idx="2">
                  <c:v>Vedovanza (senza Figli):</c:v>
                </c:pt>
              </c:strCache>
            </c:strRef>
          </c:cat>
          <c:val>
            <c:numRef>
              <c:f>'Calcoli Partner'!$M$33:$M$35</c:f>
              <c:numCache>
                <c:formatCode>#,##0</c:formatCode>
                <c:ptCount val="3"/>
                <c:pt idx="1">
                  <c:v>0</c:v>
                </c:pt>
                <c:pt idx="2">
                  <c:v>0</c:v>
                </c:pt>
              </c:numCache>
            </c:numRef>
          </c:val>
          <c:extLst>
            <c:ext xmlns:c16="http://schemas.microsoft.com/office/drawing/2014/chart" uri="{C3380CC4-5D6E-409C-BE32-E72D297353CC}">
              <c16:uniqueId val="{0000000A-CCEC-46AE-B7A2-B3F2A8E335D5}"/>
            </c:ext>
          </c:extLst>
        </c:ser>
        <c:ser>
          <c:idx val="3"/>
          <c:order val="3"/>
          <c:tx>
            <c:strRef>
              <c:f>'Calcoli Partner'!$N$32</c:f>
              <c:strCache>
                <c:ptCount val="1"/>
                <c:pt idx="0">
                  <c:v>Rend. suppl. LPP figli</c:v>
                </c:pt>
              </c:strCache>
            </c:strRef>
          </c:tx>
          <c:spPr>
            <a:solidFill>
              <a:srgbClr val="AAEEEC"/>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EC-46AE-B7A2-B3F2A8E335D5}"/>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Partner'!$J$33:$J$35</c:f>
              <c:strCache>
                <c:ptCount val="3"/>
                <c:pt idx="0">
                  <c:v>Fabbisogno mensile</c:v>
                </c:pt>
                <c:pt idx="1">
                  <c:v>Vedovanza (con Figli):</c:v>
                </c:pt>
                <c:pt idx="2">
                  <c:v>Vedovanza (senza Figli):</c:v>
                </c:pt>
              </c:strCache>
            </c:strRef>
          </c:cat>
          <c:val>
            <c:numRef>
              <c:f>'Calcoli Partner'!$N$33:$N$35</c:f>
              <c:numCache>
                <c:formatCode>#,##0</c:formatCode>
                <c:ptCount val="3"/>
                <c:pt idx="1">
                  <c:v>0</c:v>
                </c:pt>
              </c:numCache>
            </c:numRef>
          </c:val>
          <c:extLst>
            <c:ext xmlns:c16="http://schemas.microsoft.com/office/drawing/2014/chart" uri="{C3380CC4-5D6E-409C-BE32-E72D297353CC}">
              <c16:uniqueId val="{0000000C-CCEC-46AE-B7A2-B3F2A8E335D5}"/>
            </c:ext>
          </c:extLst>
        </c:ser>
        <c:ser>
          <c:idx val="4"/>
          <c:order val="4"/>
          <c:tx>
            <c:strRef>
              <c:f>'Calcoli Partner'!$O$32</c:f>
              <c:strCache>
                <c:ptCount val="1"/>
                <c:pt idx="0">
                  <c:v>3. pilastro</c:v>
                </c:pt>
              </c:strCache>
            </c:strRef>
          </c:tx>
          <c:spPr>
            <a:solidFill>
              <a:srgbClr val="3E6CC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Partner'!$J$33:$J$35</c:f>
              <c:strCache>
                <c:ptCount val="3"/>
                <c:pt idx="0">
                  <c:v>Fabbisogno mensile</c:v>
                </c:pt>
                <c:pt idx="1">
                  <c:v>Vedovanza (con Figli):</c:v>
                </c:pt>
                <c:pt idx="2">
                  <c:v>Vedovanza (senza Figli):</c:v>
                </c:pt>
              </c:strCache>
            </c:strRef>
          </c:cat>
          <c:val>
            <c:numRef>
              <c:f>'Calcoli Partner'!$O$33:$O$35</c:f>
              <c:numCache>
                <c:formatCode>#,##0</c:formatCode>
                <c:ptCount val="3"/>
                <c:pt idx="1">
                  <c:v>0</c:v>
                </c:pt>
                <c:pt idx="2">
                  <c:v>0</c:v>
                </c:pt>
              </c:numCache>
            </c:numRef>
          </c:val>
          <c:extLst>
            <c:ext xmlns:c16="http://schemas.microsoft.com/office/drawing/2014/chart" uri="{C3380CC4-5D6E-409C-BE32-E72D297353CC}">
              <c16:uniqueId val="{0000000D-CCEC-46AE-B7A2-B3F2A8E335D5}"/>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50C8-4C07-8314-22D31B23E7AE}"/>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50C8-4C07-8314-22D31B23E7AE}"/>
              </c:ext>
            </c:extLst>
          </c:dPt>
          <c:dPt>
            <c:idx val="2"/>
            <c:invertIfNegative val="0"/>
            <c:bubble3D val="0"/>
            <c:spPr>
              <a:solidFill>
                <a:srgbClr val="5D84CB"/>
              </a:solidFill>
              <a:ln>
                <a:noFill/>
              </a:ln>
              <a:effectLst/>
            </c:spPr>
            <c:extLst>
              <c:ext xmlns:c16="http://schemas.microsoft.com/office/drawing/2014/chart" uri="{C3380CC4-5D6E-409C-BE32-E72D297353CC}">
                <c16:uniqueId val="{00000005-50C8-4C07-8314-22D31B23E7AE}"/>
              </c:ext>
            </c:extLst>
          </c:dPt>
          <c:dPt>
            <c:idx val="3"/>
            <c:invertIfNegative val="0"/>
            <c:bubble3D val="0"/>
            <c:spPr>
              <a:solidFill>
                <a:srgbClr val="5D84CB"/>
              </a:solidFill>
              <a:ln>
                <a:noFill/>
              </a:ln>
              <a:effectLst/>
            </c:spPr>
            <c:extLst>
              <c:ext xmlns:c16="http://schemas.microsoft.com/office/drawing/2014/chart" uri="{C3380CC4-5D6E-409C-BE32-E72D297353CC}">
                <c16:uniqueId val="{00000007-50C8-4C07-8314-22D31B23E7AE}"/>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8-50C8-4C07-8314-22D31B23E7AE}"/>
            </c:ext>
          </c:extLst>
        </c:ser>
        <c:ser>
          <c:idx val="1"/>
          <c:order val="1"/>
          <c:tx>
            <c:strRef>
              <c:f>'calcoli Cliente'!$T$26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C8-4C07-8314-22D31B23E7A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C8-4C07-8314-22D31B23E7A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B-50C8-4C07-8314-22D31B23E7AE}"/>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C-50C8-4C07-8314-22D31B23E7AE}"/>
            </c:ext>
          </c:extLst>
        </c:ser>
        <c:ser>
          <c:idx val="3"/>
          <c:order val="3"/>
          <c:tx>
            <c:strRef>
              <c:f>'calcoli Cliente'!$V$26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C8-4C07-8314-22D31B23E7AE}"/>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E-50C8-4C07-8314-22D31B23E7AE}"/>
            </c:ext>
          </c:extLst>
        </c:ser>
        <c:ser>
          <c:idx val="4"/>
          <c:order val="4"/>
          <c:tx>
            <c:strRef>
              <c:f>'calcoli Cliente'!$W$26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F-50C8-4C07-8314-22D31B23E7AE}"/>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Partner'!$S$32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31EF-490C-A5B6-155E86BE25CB}"/>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1EF-490C-A5B6-155E86BE25CB}"/>
              </c:ext>
            </c:extLst>
          </c:dPt>
          <c:dPt>
            <c:idx val="2"/>
            <c:invertIfNegative val="0"/>
            <c:bubble3D val="0"/>
            <c:spPr>
              <a:solidFill>
                <a:srgbClr val="5D84CB"/>
              </a:solidFill>
              <a:ln>
                <a:noFill/>
              </a:ln>
              <a:effectLst/>
            </c:spPr>
            <c:extLst>
              <c:ext xmlns:c16="http://schemas.microsoft.com/office/drawing/2014/chart" uri="{C3380CC4-5D6E-409C-BE32-E72D297353CC}">
                <c16:uniqueId val="{00000005-31EF-490C-A5B6-155E86BE25CB}"/>
              </c:ext>
            </c:extLst>
          </c:dPt>
          <c:dPt>
            <c:idx val="3"/>
            <c:invertIfNegative val="0"/>
            <c:bubble3D val="0"/>
            <c:spPr>
              <a:solidFill>
                <a:srgbClr val="5D84CB"/>
              </a:solidFill>
              <a:ln>
                <a:noFill/>
              </a:ln>
              <a:effectLst/>
            </c:spPr>
            <c:extLst>
              <c:ext xmlns:c16="http://schemas.microsoft.com/office/drawing/2014/chart" uri="{C3380CC4-5D6E-409C-BE32-E72D297353CC}">
                <c16:uniqueId val="{00000007-31EF-490C-A5B6-155E86BE25CB}"/>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Partner'!$S$33:$S$35</c:f>
              <c:numCache>
                <c:formatCode>#,##0</c:formatCode>
                <c:ptCount val="3"/>
                <c:pt idx="0">
                  <c:v>0</c:v>
                </c:pt>
                <c:pt idx="1">
                  <c:v>0</c:v>
                </c:pt>
                <c:pt idx="2">
                  <c:v>0</c:v>
                </c:pt>
              </c:numCache>
            </c:numRef>
          </c:val>
          <c:extLst>
            <c:ext xmlns:c16="http://schemas.microsoft.com/office/drawing/2014/chart" uri="{C3380CC4-5D6E-409C-BE32-E72D297353CC}">
              <c16:uniqueId val="{00000008-31EF-490C-A5B6-155E86BE25CB}"/>
            </c:ext>
          </c:extLst>
        </c:ser>
        <c:ser>
          <c:idx val="1"/>
          <c:order val="1"/>
          <c:tx>
            <c:strRef>
              <c:f>'Calcoli Partner'!$T$32</c:f>
              <c:strCache>
                <c:ptCount val="1"/>
                <c:pt idx="0">
                  <c:v>Rend. suppl. AVS figli</c:v>
                </c:pt>
              </c:strCache>
            </c:strRef>
          </c:tx>
          <c:spPr>
            <a:solidFill>
              <a:srgbClr val="A0B7E0"/>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F-490C-A5B6-155E86BE25C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Partner'!$T$33:$T$35</c:f>
              <c:numCache>
                <c:formatCode>#,##0</c:formatCode>
                <c:ptCount val="3"/>
                <c:pt idx="1">
                  <c:v>0</c:v>
                </c:pt>
              </c:numCache>
            </c:numRef>
          </c:val>
          <c:extLst>
            <c:ext xmlns:c16="http://schemas.microsoft.com/office/drawing/2014/chart" uri="{C3380CC4-5D6E-409C-BE32-E72D297353CC}">
              <c16:uniqueId val="{0000000A-31EF-490C-A5B6-155E86BE25CB}"/>
            </c:ext>
          </c:extLst>
        </c:ser>
        <c:ser>
          <c:idx val="2"/>
          <c:order val="2"/>
          <c:tx>
            <c:strRef>
              <c:f>'Calcoli Partner'!$U$32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Partner'!$U$33:$U$35</c:f>
              <c:numCache>
                <c:formatCode>#,##0</c:formatCode>
                <c:ptCount val="3"/>
                <c:pt idx="1">
                  <c:v>0</c:v>
                </c:pt>
                <c:pt idx="2">
                  <c:v>0</c:v>
                </c:pt>
              </c:numCache>
            </c:numRef>
          </c:val>
          <c:extLst>
            <c:ext xmlns:c16="http://schemas.microsoft.com/office/drawing/2014/chart" uri="{C3380CC4-5D6E-409C-BE32-E72D297353CC}">
              <c16:uniqueId val="{0000000B-31EF-490C-A5B6-155E86BE25CB}"/>
            </c:ext>
          </c:extLst>
        </c:ser>
        <c:ser>
          <c:idx val="3"/>
          <c:order val="3"/>
          <c:tx>
            <c:strRef>
              <c:f>'Calcoli Partner'!$V$32</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EF-490C-A5B6-155E86BE25CB}"/>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Partner'!$V$33:$V$35</c:f>
              <c:numCache>
                <c:formatCode>#,##0</c:formatCode>
                <c:ptCount val="3"/>
                <c:pt idx="1">
                  <c:v>0</c:v>
                </c:pt>
              </c:numCache>
            </c:numRef>
          </c:val>
          <c:extLst>
            <c:ext xmlns:c16="http://schemas.microsoft.com/office/drawing/2014/chart" uri="{C3380CC4-5D6E-409C-BE32-E72D297353CC}">
              <c16:uniqueId val="{0000000D-31EF-490C-A5B6-155E86BE25CB}"/>
            </c:ext>
          </c:extLst>
        </c:ser>
        <c:ser>
          <c:idx val="4"/>
          <c:order val="4"/>
          <c:tx>
            <c:strRef>
              <c:f>'Calcoli Partner'!$W$32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Partner'!$W$33:$W$35</c:f>
              <c:numCache>
                <c:formatCode>#,##0</c:formatCode>
                <c:ptCount val="3"/>
                <c:pt idx="1">
                  <c:v>0</c:v>
                </c:pt>
                <c:pt idx="2">
                  <c:v>0</c:v>
                </c:pt>
              </c:numCache>
            </c:numRef>
          </c:val>
          <c:extLst>
            <c:ext xmlns:c16="http://schemas.microsoft.com/office/drawing/2014/chart" uri="{C3380CC4-5D6E-409C-BE32-E72D297353CC}">
              <c16:uniqueId val="{0000000E-31EF-490C-A5B6-155E86BE25CB}"/>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Partner'!$K$47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B093-411E-B8B3-8DFD132BAF33}"/>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B093-411E-B8B3-8DFD132BAF33}"/>
              </c:ext>
            </c:extLst>
          </c:dPt>
          <c:dPt>
            <c:idx val="2"/>
            <c:invertIfNegative val="0"/>
            <c:bubble3D val="0"/>
            <c:spPr>
              <a:solidFill>
                <a:srgbClr val="5D84CB"/>
              </a:solidFill>
              <a:ln>
                <a:noFill/>
              </a:ln>
              <a:effectLst/>
            </c:spPr>
            <c:extLst>
              <c:ext xmlns:c16="http://schemas.microsoft.com/office/drawing/2014/chart" uri="{C3380CC4-5D6E-409C-BE32-E72D297353CC}">
                <c16:uniqueId val="{00000005-B093-411E-B8B3-8DFD132BAF33}"/>
              </c:ext>
            </c:extLst>
          </c:dPt>
          <c:dPt>
            <c:idx val="3"/>
            <c:invertIfNegative val="0"/>
            <c:bubble3D val="0"/>
            <c:spPr>
              <a:solidFill>
                <a:srgbClr val="5D84CB"/>
              </a:solidFill>
              <a:ln>
                <a:noFill/>
              </a:ln>
              <a:effectLst/>
            </c:spPr>
            <c:extLst>
              <c:ext xmlns:c16="http://schemas.microsoft.com/office/drawing/2014/chart" uri="{C3380CC4-5D6E-409C-BE32-E72D297353CC}">
                <c16:uniqueId val="{00000007-B093-411E-B8B3-8DFD132BAF33}"/>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Partner'!$J$48:$J$50</c:f>
              <c:strCache>
                <c:ptCount val="3"/>
                <c:pt idx="0">
                  <c:v>Fabbisogno mensile</c:v>
                </c:pt>
                <c:pt idx="1">
                  <c:v>Pensione (senza Splitting:)</c:v>
                </c:pt>
                <c:pt idx="2">
                  <c:v>Con splitting:</c:v>
                </c:pt>
              </c:strCache>
            </c:strRef>
          </c:cat>
          <c:val>
            <c:numRef>
              <c:f>'Calcoli Partner'!$K$48:$K$50</c:f>
              <c:numCache>
                <c:formatCode>#,##0</c:formatCode>
                <c:ptCount val="3"/>
                <c:pt idx="0">
                  <c:v>0</c:v>
                </c:pt>
                <c:pt idx="1">
                  <c:v>0</c:v>
                </c:pt>
                <c:pt idx="2">
                  <c:v>0</c:v>
                </c:pt>
              </c:numCache>
            </c:numRef>
          </c:val>
          <c:extLst>
            <c:ext xmlns:c16="http://schemas.microsoft.com/office/drawing/2014/chart" uri="{C3380CC4-5D6E-409C-BE32-E72D297353CC}">
              <c16:uniqueId val="{00000008-B093-411E-B8B3-8DFD132BAF33}"/>
            </c:ext>
          </c:extLst>
        </c:ser>
        <c:ser>
          <c:idx val="1"/>
          <c:order val="1"/>
          <c:tx>
            <c:strRef>
              <c:f>'Calcoli Partner'!$L$47</c:f>
              <c:strCache>
                <c:ptCount val="1"/>
                <c:pt idx="0">
                  <c:v>LPP</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Partner'!$J$48:$J$50</c:f>
              <c:strCache>
                <c:ptCount val="3"/>
                <c:pt idx="0">
                  <c:v>Fabbisogno mensile</c:v>
                </c:pt>
                <c:pt idx="1">
                  <c:v>Pensione (senza Splitting:)</c:v>
                </c:pt>
                <c:pt idx="2">
                  <c:v>Con splitting:</c:v>
                </c:pt>
              </c:strCache>
            </c:strRef>
          </c:cat>
          <c:val>
            <c:numRef>
              <c:f>'Calcoli Partner'!$L$48:$L$50</c:f>
              <c:numCache>
                <c:formatCode>#,##0</c:formatCode>
                <c:ptCount val="3"/>
                <c:pt idx="1">
                  <c:v>0</c:v>
                </c:pt>
                <c:pt idx="2">
                  <c:v>0</c:v>
                </c:pt>
              </c:numCache>
            </c:numRef>
          </c:val>
          <c:extLst>
            <c:ext xmlns:c16="http://schemas.microsoft.com/office/drawing/2014/chart" uri="{C3380CC4-5D6E-409C-BE32-E72D297353CC}">
              <c16:uniqueId val="{00000009-B093-411E-B8B3-8DFD132BAF33}"/>
            </c:ext>
          </c:extLst>
        </c:ser>
        <c:ser>
          <c:idx val="2"/>
          <c:order val="2"/>
          <c:tx>
            <c:strRef>
              <c:f>'Calcoli Partner'!$M$47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Partner'!$J$48:$J$50</c:f>
              <c:strCache>
                <c:ptCount val="3"/>
                <c:pt idx="0">
                  <c:v>Fabbisogno mensile</c:v>
                </c:pt>
                <c:pt idx="1">
                  <c:v>Pensione (senza Splitting:)</c:v>
                </c:pt>
                <c:pt idx="2">
                  <c:v>Con splitting:</c:v>
                </c:pt>
              </c:strCache>
            </c:strRef>
          </c:cat>
          <c:val>
            <c:numRef>
              <c:f>'Calcoli Partner'!$M$48:$M$50</c:f>
              <c:numCache>
                <c:formatCode>#,##0</c:formatCode>
                <c:ptCount val="3"/>
                <c:pt idx="1">
                  <c:v>0</c:v>
                </c:pt>
                <c:pt idx="2">
                  <c:v>0</c:v>
                </c:pt>
              </c:numCache>
            </c:numRef>
          </c:val>
          <c:extLst>
            <c:ext xmlns:c16="http://schemas.microsoft.com/office/drawing/2014/chart" uri="{C3380CC4-5D6E-409C-BE32-E72D297353CC}">
              <c16:uniqueId val="{0000000A-B093-411E-B8B3-8DFD132BAF33}"/>
            </c:ext>
          </c:extLst>
        </c:ser>
        <c:ser>
          <c:idx val="3"/>
          <c:order val="3"/>
          <c:tx>
            <c:strRef>
              <c:f>'Calcoli Partner'!$N$47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93-411E-B8B3-8DFD132BAF33}"/>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Partner'!$J$48:$J$50</c:f>
              <c:strCache>
                <c:ptCount val="3"/>
                <c:pt idx="0">
                  <c:v>Fabbisogno mensile</c:v>
                </c:pt>
                <c:pt idx="1">
                  <c:v>Pensione (senza Splitting:)</c:v>
                </c:pt>
                <c:pt idx="2">
                  <c:v>Con splitting:</c:v>
                </c:pt>
              </c:strCache>
            </c:strRef>
          </c:cat>
          <c:val>
            <c:numRef>
              <c:f>'Calcoli Partner'!$N$48:$N$50</c:f>
              <c:numCache>
                <c:formatCode>#,##0</c:formatCode>
                <c:ptCount val="3"/>
                <c:pt idx="1">
                  <c:v>0</c:v>
                </c:pt>
                <c:pt idx="2">
                  <c:v>0</c:v>
                </c:pt>
              </c:numCache>
            </c:numRef>
          </c:val>
          <c:extLst>
            <c:ext xmlns:c16="http://schemas.microsoft.com/office/drawing/2014/chart" uri="{C3380CC4-5D6E-409C-BE32-E72D297353CC}">
              <c16:uniqueId val="{0000000C-B093-411E-B8B3-8DFD132BAF33}"/>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F7B4-463A-A6C7-D12A84F09681}"/>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F7B4-463A-A6C7-D12A84F09681}"/>
              </c:ext>
            </c:extLst>
          </c:dPt>
          <c:dPt>
            <c:idx val="2"/>
            <c:invertIfNegative val="0"/>
            <c:bubble3D val="0"/>
            <c:spPr>
              <a:solidFill>
                <a:srgbClr val="5D84CB"/>
              </a:solidFill>
              <a:ln>
                <a:noFill/>
              </a:ln>
              <a:effectLst/>
            </c:spPr>
            <c:extLst>
              <c:ext xmlns:c16="http://schemas.microsoft.com/office/drawing/2014/chart" uri="{C3380CC4-5D6E-409C-BE32-E72D297353CC}">
                <c16:uniqueId val="{00000005-F7B4-463A-A6C7-D12A84F09681}"/>
              </c:ext>
            </c:extLst>
          </c:dPt>
          <c:dPt>
            <c:idx val="3"/>
            <c:invertIfNegative val="0"/>
            <c:bubble3D val="0"/>
            <c:spPr>
              <a:solidFill>
                <a:srgbClr val="5D84CB"/>
              </a:solidFill>
              <a:ln>
                <a:noFill/>
              </a:ln>
              <a:effectLst/>
            </c:spPr>
            <c:extLst>
              <c:ext xmlns:c16="http://schemas.microsoft.com/office/drawing/2014/chart" uri="{C3380CC4-5D6E-409C-BE32-E72D297353CC}">
                <c16:uniqueId val="{00000007-F7B4-463A-A6C7-D12A84F0968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8-F7B4-463A-A6C7-D12A84F09681}"/>
            </c:ext>
          </c:extLst>
        </c:ser>
        <c:ser>
          <c:idx val="1"/>
          <c:order val="1"/>
          <c:tx>
            <c:strRef>
              <c:f>'calcoli Cliente'!$T$26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B4-463A-A6C7-D12A84F0968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B4-463A-A6C7-D12A84F0968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B-F7B4-463A-A6C7-D12A84F09681}"/>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C-F7B4-463A-A6C7-D12A84F09681}"/>
            </c:ext>
          </c:extLst>
        </c:ser>
        <c:ser>
          <c:idx val="3"/>
          <c:order val="3"/>
          <c:tx>
            <c:strRef>
              <c:f>'calcoli Cliente'!$V$26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B4-463A-A6C7-D12A84F09681}"/>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E-F7B4-463A-A6C7-D12A84F09681}"/>
            </c:ext>
          </c:extLst>
        </c:ser>
        <c:ser>
          <c:idx val="4"/>
          <c:order val="4"/>
          <c:tx>
            <c:strRef>
              <c:f>'calcoli Cliente'!$W$26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F-F7B4-463A-A6C7-D12A84F09681}"/>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Partner'!$Q$47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110E-4819-853D-DF580A027F10}"/>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110E-4819-853D-DF580A027F10}"/>
              </c:ext>
            </c:extLst>
          </c:dPt>
          <c:dPt>
            <c:idx val="2"/>
            <c:invertIfNegative val="0"/>
            <c:bubble3D val="0"/>
            <c:spPr>
              <a:solidFill>
                <a:srgbClr val="5D84CB"/>
              </a:solidFill>
              <a:ln>
                <a:noFill/>
              </a:ln>
              <a:effectLst/>
            </c:spPr>
            <c:extLst>
              <c:ext xmlns:c16="http://schemas.microsoft.com/office/drawing/2014/chart" uri="{C3380CC4-5D6E-409C-BE32-E72D297353CC}">
                <c16:uniqueId val="{00000005-110E-4819-853D-DF580A027F10}"/>
              </c:ext>
            </c:extLst>
          </c:dPt>
          <c:dPt>
            <c:idx val="3"/>
            <c:invertIfNegative val="0"/>
            <c:bubble3D val="0"/>
            <c:spPr>
              <a:solidFill>
                <a:srgbClr val="5D84CB"/>
              </a:solidFill>
              <a:ln>
                <a:noFill/>
              </a:ln>
              <a:effectLst/>
            </c:spPr>
            <c:extLst>
              <c:ext xmlns:c16="http://schemas.microsoft.com/office/drawing/2014/chart" uri="{C3380CC4-5D6E-409C-BE32-E72D297353CC}">
                <c16:uniqueId val="{00000007-110E-4819-853D-DF580A027F10}"/>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Partner'!$Q$48:$Q$50</c:f>
              <c:numCache>
                <c:formatCode>#,##0</c:formatCode>
                <c:ptCount val="3"/>
                <c:pt idx="0">
                  <c:v>0</c:v>
                </c:pt>
                <c:pt idx="1">
                  <c:v>0</c:v>
                </c:pt>
                <c:pt idx="2">
                  <c:v>0</c:v>
                </c:pt>
              </c:numCache>
            </c:numRef>
          </c:val>
          <c:extLst>
            <c:ext xmlns:c16="http://schemas.microsoft.com/office/drawing/2014/chart" uri="{C3380CC4-5D6E-409C-BE32-E72D297353CC}">
              <c16:uniqueId val="{00000008-110E-4819-853D-DF580A027F10}"/>
            </c:ext>
          </c:extLst>
        </c:ser>
        <c:ser>
          <c:idx val="1"/>
          <c:order val="1"/>
          <c:tx>
            <c:strRef>
              <c:f>'Calcoli Partner'!$R$47</c:f>
              <c:strCache>
                <c:ptCount val="1"/>
                <c:pt idx="0">
                  <c:v>LPP</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Partner'!$R$48:$R$50</c:f>
              <c:numCache>
                <c:formatCode>#,##0</c:formatCode>
                <c:ptCount val="3"/>
                <c:pt idx="1">
                  <c:v>0</c:v>
                </c:pt>
                <c:pt idx="2">
                  <c:v>0</c:v>
                </c:pt>
              </c:numCache>
            </c:numRef>
          </c:val>
          <c:extLst>
            <c:ext xmlns:c16="http://schemas.microsoft.com/office/drawing/2014/chart" uri="{C3380CC4-5D6E-409C-BE32-E72D297353CC}">
              <c16:uniqueId val="{00000009-110E-4819-853D-DF580A027F10}"/>
            </c:ext>
          </c:extLst>
        </c:ser>
        <c:ser>
          <c:idx val="2"/>
          <c:order val="2"/>
          <c:tx>
            <c:strRef>
              <c:f>'Calcoli Partner'!$S$47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Partner'!$S$48:$S$50</c:f>
              <c:numCache>
                <c:formatCode>#,##0</c:formatCode>
                <c:ptCount val="3"/>
              </c:numCache>
            </c:numRef>
          </c:val>
          <c:extLst>
            <c:ext xmlns:c16="http://schemas.microsoft.com/office/drawing/2014/chart" uri="{C3380CC4-5D6E-409C-BE32-E72D297353CC}">
              <c16:uniqueId val="{0000000A-110E-4819-853D-DF580A027F10}"/>
            </c:ext>
          </c:extLst>
        </c:ser>
        <c:ser>
          <c:idx val="3"/>
          <c:order val="3"/>
          <c:tx>
            <c:strRef>
              <c:f>'Calcoli Partner'!$T$47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0E-4819-853D-DF580A027F10}"/>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Partner'!$T$48:$T$50</c:f>
              <c:numCache>
                <c:formatCode>#,##0</c:formatCode>
                <c:ptCount val="3"/>
                <c:pt idx="1">
                  <c:v>0</c:v>
                </c:pt>
                <c:pt idx="2">
                  <c:v>0</c:v>
                </c:pt>
              </c:numCache>
            </c:numRef>
          </c:val>
          <c:extLst>
            <c:ext xmlns:c16="http://schemas.microsoft.com/office/drawing/2014/chart" uri="{C3380CC4-5D6E-409C-BE32-E72D297353CC}">
              <c16:uniqueId val="{0000000C-110E-4819-853D-DF580A027F10}"/>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0"/>
          <c:w val="0.88368214732400474"/>
          <c:h val="0.6333931851878436"/>
        </c:manualLayout>
      </c:layout>
      <c:barChart>
        <c:barDir val="col"/>
        <c:grouping val="percentStacked"/>
        <c:varyColors val="0"/>
        <c:ser>
          <c:idx val="0"/>
          <c:order val="0"/>
          <c:tx>
            <c:strRef>
              <c:f>'calcoli Cliente'!$S$32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8B0C-440B-A738-7F017337B8F1}"/>
              </c:ext>
            </c:extLst>
          </c:dPt>
          <c:dPt>
            <c:idx val="1"/>
            <c:invertIfNegative val="0"/>
            <c:bubble3D val="0"/>
            <c:spPr>
              <a:solidFill>
                <a:srgbClr val="2F5291"/>
              </a:solidFill>
              <a:ln>
                <a:noFill/>
              </a:ln>
              <a:effectLst/>
            </c:spPr>
            <c:extLst>
              <c:ext xmlns:c16="http://schemas.microsoft.com/office/drawing/2014/chart" uri="{C3380CC4-5D6E-409C-BE32-E72D297353CC}">
                <c16:uniqueId val="{00000003-8B0C-440B-A738-7F017337B8F1}"/>
              </c:ext>
            </c:extLst>
          </c:dPt>
          <c:dPt>
            <c:idx val="2"/>
            <c:invertIfNegative val="0"/>
            <c:bubble3D val="0"/>
            <c:spPr>
              <a:solidFill>
                <a:srgbClr val="4B77C5"/>
              </a:solidFill>
              <a:ln>
                <a:noFill/>
              </a:ln>
              <a:effectLst/>
            </c:spPr>
            <c:extLst>
              <c:ext xmlns:c16="http://schemas.microsoft.com/office/drawing/2014/chart" uri="{C3380CC4-5D6E-409C-BE32-E72D297353CC}">
                <c16:uniqueId val="{00000005-8B0C-440B-A738-7F017337B8F1}"/>
              </c:ext>
            </c:extLst>
          </c:dPt>
          <c:dPt>
            <c:idx val="3"/>
            <c:invertIfNegative val="0"/>
            <c:bubble3D val="0"/>
            <c:spPr>
              <a:solidFill>
                <a:srgbClr val="4B77C5"/>
              </a:solidFill>
              <a:ln>
                <a:noFill/>
              </a:ln>
              <a:effectLst/>
            </c:spPr>
            <c:extLst>
              <c:ext xmlns:c16="http://schemas.microsoft.com/office/drawing/2014/chart" uri="{C3380CC4-5D6E-409C-BE32-E72D297353CC}">
                <c16:uniqueId val="{00000007-8B0C-440B-A738-7F017337B8F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Cliente'!$S$33:$S$35</c:f>
              <c:numCache>
                <c:formatCode>#,##0</c:formatCode>
                <c:ptCount val="3"/>
                <c:pt idx="0">
                  <c:v>0</c:v>
                </c:pt>
                <c:pt idx="1">
                  <c:v>0</c:v>
                </c:pt>
                <c:pt idx="2">
                  <c:v>0</c:v>
                </c:pt>
              </c:numCache>
            </c:numRef>
          </c:val>
          <c:extLst>
            <c:ext xmlns:c16="http://schemas.microsoft.com/office/drawing/2014/chart" uri="{C3380CC4-5D6E-409C-BE32-E72D297353CC}">
              <c16:uniqueId val="{00000008-8B0C-440B-A738-7F017337B8F1}"/>
            </c:ext>
          </c:extLst>
        </c:ser>
        <c:ser>
          <c:idx val="1"/>
          <c:order val="1"/>
          <c:tx>
            <c:strRef>
              <c:f>'calcoli Cliente'!$T$32</c:f>
              <c:strCache>
                <c:ptCount val="1"/>
                <c:pt idx="0">
                  <c:v>Rend. suppl. AVS figli</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Cliente'!$T$33:$T$35</c:f>
              <c:numCache>
                <c:formatCode>#,##0</c:formatCode>
                <c:ptCount val="3"/>
                <c:pt idx="1">
                  <c:v>0</c:v>
                </c:pt>
              </c:numCache>
            </c:numRef>
          </c:val>
          <c:extLst>
            <c:ext xmlns:c16="http://schemas.microsoft.com/office/drawing/2014/chart" uri="{C3380CC4-5D6E-409C-BE32-E72D297353CC}">
              <c16:uniqueId val="{0000000B-8B0C-440B-A738-7F017337B8F1}"/>
            </c:ext>
          </c:extLst>
        </c:ser>
        <c:ser>
          <c:idx val="2"/>
          <c:order val="2"/>
          <c:tx>
            <c:strRef>
              <c:f>'calcoli Cliente'!$U$32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Cliente'!$U$33:$U$35</c:f>
              <c:numCache>
                <c:formatCode>#,##0</c:formatCode>
                <c:ptCount val="3"/>
                <c:pt idx="1">
                  <c:v>0</c:v>
                </c:pt>
                <c:pt idx="2">
                  <c:v>0</c:v>
                </c:pt>
              </c:numCache>
            </c:numRef>
          </c:val>
          <c:extLst>
            <c:ext xmlns:c16="http://schemas.microsoft.com/office/drawing/2014/chart" uri="{C3380CC4-5D6E-409C-BE32-E72D297353CC}">
              <c16:uniqueId val="{0000000C-8B0C-440B-A738-7F017337B8F1}"/>
            </c:ext>
          </c:extLst>
        </c:ser>
        <c:ser>
          <c:idx val="3"/>
          <c:order val="3"/>
          <c:tx>
            <c:strRef>
              <c:f>'calcoli Cliente'!$V$32</c:f>
              <c:strCache>
                <c:ptCount val="1"/>
                <c:pt idx="0">
                  <c:v>Rend. suppl. LPP figli</c:v>
                </c:pt>
              </c:strCache>
            </c:strRef>
          </c:tx>
          <c:spPr>
            <a:solidFill>
              <a:srgbClr val="ADEFED"/>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B0C-440B-A738-7F017337B8F1}"/>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Cliente'!$V$33:$V$35</c:f>
              <c:numCache>
                <c:formatCode>#,##0</c:formatCode>
                <c:ptCount val="3"/>
                <c:pt idx="1">
                  <c:v>0</c:v>
                </c:pt>
              </c:numCache>
            </c:numRef>
          </c:val>
          <c:extLst>
            <c:ext xmlns:c16="http://schemas.microsoft.com/office/drawing/2014/chart" uri="{C3380CC4-5D6E-409C-BE32-E72D297353CC}">
              <c16:uniqueId val="{0000000E-8B0C-440B-A738-7F017337B8F1}"/>
            </c:ext>
          </c:extLst>
        </c:ser>
        <c:ser>
          <c:idx val="4"/>
          <c:order val="4"/>
          <c:tx>
            <c:strRef>
              <c:f>'calcoli Cliente'!$W$32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Cliente'!$W$33:$W$35</c:f>
              <c:numCache>
                <c:formatCode>#,##0</c:formatCode>
                <c:ptCount val="3"/>
                <c:pt idx="1">
                  <c:v>0</c:v>
                </c:pt>
                <c:pt idx="2">
                  <c:v>0</c:v>
                </c:pt>
              </c:numCache>
            </c:numRef>
          </c:val>
          <c:extLst>
            <c:ext xmlns:c16="http://schemas.microsoft.com/office/drawing/2014/chart" uri="{C3380CC4-5D6E-409C-BE32-E72D297353CC}">
              <c16:uniqueId val="{0000000F-8B0C-440B-A738-7F017337B8F1}"/>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Cliente'!$K$32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4C34-4CA9-B855-29A5E8159EB4}"/>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4C34-4CA9-B855-29A5E8159EB4}"/>
              </c:ext>
            </c:extLst>
          </c:dPt>
          <c:dPt>
            <c:idx val="2"/>
            <c:invertIfNegative val="0"/>
            <c:bubble3D val="0"/>
            <c:spPr>
              <a:solidFill>
                <a:srgbClr val="5D84CB"/>
              </a:solidFill>
              <a:ln>
                <a:noFill/>
              </a:ln>
              <a:effectLst/>
            </c:spPr>
            <c:extLst>
              <c:ext xmlns:c16="http://schemas.microsoft.com/office/drawing/2014/chart" uri="{C3380CC4-5D6E-409C-BE32-E72D297353CC}">
                <c16:uniqueId val="{00000005-4C34-4CA9-B855-29A5E8159EB4}"/>
              </c:ext>
            </c:extLst>
          </c:dPt>
          <c:dPt>
            <c:idx val="3"/>
            <c:invertIfNegative val="0"/>
            <c:bubble3D val="0"/>
            <c:spPr>
              <a:solidFill>
                <a:srgbClr val="5D84CB"/>
              </a:solidFill>
              <a:ln>
                <a:noFill/>
              </a:ln>
              <a:effectLst/>
            </c:spPr>
            <c:extLst>
              <c:ext xmlns:c16="http://schemas.microsoft.com/office/drawing/2014/chart" uri="{C3380CC4-5D6E-409C-BE32-E72D297353CC}">
                <c16:uniqueId val="{00000007-4C34-4CA9-B855-29A5E8159EB4}"/>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Cliente'!$K$33:$K$35</c:f>
              <c:numCache>
                <c:formatCode>#,##0</c:formatCode>
                <c:ptCount val="3"/>
                <c:pt idx="0">
                  <c:v>0</c:v>
                </c:pt>
                <c:pt idx="1">
                  <c:v>0</c:v>
                </c:pt>
                <c:pt idx="2">
                  <c:v>0</c:v>
                </c:pt>
              </c:numCache>
            </c:numRef>
          </c:val>
          <c:extLst>
            <c:ext xmlns:c16="http://schemas.microsoft.com/office/drawing/2014/chart" uri="{C3380CC4-5D6E-409C-BE32-E72D297353CC}">
              <c16:uniqueId val="{00000008-4C34-4CA9-B855-29A5E8159EB4}"/>
            </c:ext>
          </c:extLst>
        </c:ser>
        <c:ser>
          <c:idx val="1"/>
          <c:order val="1"/>
          <c:tx>
            <c:strRef>
              <c:f>'calcoli Cliente'!$L$32</c:f>
              <c:strCache>
                <c:ptCount val="1"/>
                <c:pt idx="0">
                  <c:v>Rend. suppl. AVS figli</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Cliente'!$L$33:$L$35</c:f>
              <c:numCache>
                <c:formatCode>#,##0</c:formatCode>
                <c:ptCount val="3"/>
                <c:pt idx="1">
                  <c:v>0</c:v>
                </c:pt>
              </c:numCache>
            </c:numRef>
          </c:val>
          <c:extLst>
            <c:ext xmlns:c16="http://schemas.microsoft.com/office/drawing/2014/chart" uri="{C3380CC4-5D6E-409C-BE32-E72D297353CC}">
              <c16:uniqueId val="{0000000B-4C34-4CA9-B855-29A5E8159EB4}"/>
            </c:ext>
          </c:extLst>
        </c:ser>
        <c:ser>
          <c:idx val="2"/>
          <c:order val="2"/>
          <c:tx>
            <c:strRef>
              <c:f>'calcoli Cliente'!$M$32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Cliente'!$M$33:$M$35</c:f>
              <c:numCache>
                <c:formatCode>#,##0</c:formatCode>
                <c:ptCount val="3"/>
                <c:pt idx="1">
                  <c:v>0</c:v>
                </c:pt>
                <c:pt idx="2">
                  <c:v>0</c:v>
                </c:pt>
              </c:numCache>
            </c:numRef>
          </c:val>
          <c:extLst>
            <c:ext xmlns:c16="http://schemas.microsoft.com/office/drawing/2014/chart" uri="{C3380CC4-5D6E-409C-BE32-E72D297353CC}">
              <c16:uniqueId val="{0000000C-4C34-4CA9-B855-29A5E8159EB4}"/>
            </c:ext>
          </c:extLst>
        </c:ser>
        <c:ser>
          <c:idx val="3"/>
          <c:order val="3"/>
          <c:tx>
            <c:strRef>
              <c:f>'calcoli Cliente'!$N$32</c:f>
              <c:strCache>
                <c:ptCount val="1"/>
                <c:pt idx="0">
                  <c:v>Rend. suppl. LPP figli</c:v>
                </c:pt>
              </c:strCache>
            </c:strRef>
          </c:tx>
          <c:spPr>
            <a:solidFill>
              <a:srgbClr val="AAEEEC"/>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34-4CA9-B855-29A5E8159EB4}"/>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Cliente'!$N$33:$N$35</c:f>
              <c:numCache>
                <c:formatCode>#,##0</c:formatCode>
                <c:ptCount val="3"/>
                <c:pt idx="1">
                  <c:v>0</c:v>
                </c:pt>
              </c:numCache>
            </c:numRef>
          </c:val>
          <c:extLst>
            <c:ext xmlns:c16="http://schemas.microsoft.com/office/drawing/2014/chart" uri="{C3380CC4-5D6E-409C-BE32-E72D297353CC}">
              <c16:uniqueId val="{0000000E-4C34-4CA9-B855-29A5E8159EB4}"/>
            </c:ext>
          </c:extLst>
        </c:ser>
        <c:ser>
          <c:idx val="4"/>
          <c:order val="4"/>
          <c:tx>
            <c:strRef>
              <c:f>'calcoli Cliente'!$O$32</c:f>
              <c:strCache>
                <c:ptCount val="1"/>
                <c:pt idx="0">
                  <c:v>3. pilastro</c:v>
                </c:pt>
              </c:strCache>
            </c:strRef>
          </c:tx>
          <c:spPr>
            <a:solidFill>
              <a:srgbClr val="3E6CC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Cliente'!$J$33:$J$35</c:f>
              <c:strCache>
                <c:ptCount val="3"/>
                <c:pt idx="0">
                  <c:v>Fabbisogno mensile</c:v>
                </c:pt>
                <c:pt idx="1">
                  <c:v>Vedovanza (con Figli):</c:v>
                </c:pt>
                <c:pt idx="2">
                  <c:v>Vedovanza (senza Figli):</c:v>
                </c:pt>
              </c:strCache>
            </c:strRef>
          </c:cat>
          <c:val>
            <c:numRef>
              <c:f>'calcoli Cliente'!$O$33:$O$35</c:f>
              <c:numCache>
                <c:formatCode>#,##0</c:formatCode>
                <c:ptCount val="3"/>
                <c:pt idx="1">
                  <c:v>0</c:v>
                </c:pt>
                <c:pt idx="2">
                  <c:v>0</c:v>
                </c:pt>
              </c:numCache>
            </c:numRef>
          </c:val>
          <c:extLst>
            <c:ext xmlns:c16="http://schemas.microsoft.com/office/drawing/2014/chart" uri="{C3380CC4-5D6E-409C-BE32-E72D297353CC}">
              <c16:uniqueId val="{0000000F-4C34-4CA9-B855-29A5E8159EB4}"/>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CE0D-4785-B3D9-43A7CAB792E2}"/>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CE0D-4785-B3D9-43A7CAB792E2}"/>
              </c:ext>
            </c:extLst>
          </c:dPt>
          <c:dPt>
            <c:idx val="2"/>
            <c:invertIfNegative val="0"/>
            <c:bubble3D val="0"/>
            <c:spPr>
              <a:solidFill>
                <a:srgbClr val="5D84CB"/>
              </a:solidFill>
              <a:ln>
                <a:noFill/>
              </a:ln>
              <a:effectLst/>
            </c:spPr>
            <c:extLst>
              <c:ext xmlns:c16="http://schemas.microsoft.com/office/drawing/2014/chart" uri="{C3380CC4-5D6E-409C-BE32-E72D297353CC}">
                <c16:uniqueId val="{00000005-CE0D-4785-B3D9-43A7CAB792E2}"/>
              </c:ext>
            </c:extLst>
          </c:dPt>
          <c:dPt>
            <c:idx val="3"/>
            <c:invertIfNegative val="0"/>
            <c:bubble3D val="0"/>
            <c:spPr>
              <a:solidFill>
                <a:srgbClr val="5D84CB"/>
              </a:solidFill>
              <a:ln>
                <a:noFill/>
              </a:ln>
              <a:effectLst/>
            </c:spPr>
            <c:extLst>
              <c:ext xmlns:c16="http://schemas.microsoft.com/office/drawing/2014/chart" uri="{C3380CC4-5D6E-409C-BE32-E72D297353CC}">
                <c16:uniqueId val="{00000007-CE0D-4785-B3D9-43A7CAB792E2}"/>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8-CE0D-4785-B3D9-43A7CAB792E2}"/>
            </c:ext>
          </c:extLst>
        </c:ser>
        <c:ser>
          <c:idx val="1"/>
          <c:order val="1"/>
          <c:tx>
            <c:strRef>
              <c:f>'calcoli Cliente'!$T$26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0D-4785-B3D9-43A7CAB792E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0D-4785-B3D9-43A7CAB792E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B-CE0D-4785-B3D9-43A7CAB792E2}"/>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C-CE0D-4785-B3D9-43A7CAB792E2}"/>
            </c:ext>
          </c:extLst>
        </c:ser>
        <c:ser>
          <c:idx val="3"/>
          <c:order val="3"/>
          <c:tx>
            <c:strRef>
              <c:f>'calcoli Cliente'!$V$26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0D-4785-B3D9-43A7CAB792E2}"/>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E-CE0D-4785-B3D9-43A7CAB792E2}"/>
            </c:ext>
          </c:extLst>
        </c:ser>
        <c:ser>
          <c:idx val="4"/>
          <c:order val="4"/>
          <c:tx>
            <c:strRef>
              <c:f>'calcoli Cliente'!$W$26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F-CE0D-4785-B3D9-43A7CAB792E2}"/>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Cliente'!$Q$47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1786-452A-8276-11B6EE952BC4}"/>
              </c:ext>
            </c:extLst>
          </c:dPt>
          <c:dPt>
            <c:idx val="1"/>
            <c:invertIfNegative val="0"/>
            <c:bubble3D val="0"/>
            <c:spPr>
              <a:solidFill>
                <a:srgbClr val="2F5291"/>
              </a:solidFill>
              <a:ln>
                <a:noFill/>
              </a:ln>
              <a:effectLst/>
            </c:spPr>
            <c:extLst>
              <c:ext xmlns:c16="http://schemas.microsoft.com/office/drawing/2014/chart" uri="{C3380CC4-5D6E-409C-BE32-E72D297353CC}">
                <c16:uniqueId val="{00000003-1786-452A-8276-11B6EE952BC4}"/>
              </c:ext>
            </c:extLst>
          </c:dPt>
          <c:dPt>
            <c:idx val="2"/>
            <c:invertIfNegative val="0"/>
            <c:bubble3D val="0"/>
            <c:spPr>
              <a:solidFill>
                <a:srgbClr val="4B77C5"/>
              </a:solidFill>
              <a:ln>
                <a:noFill/>
              </a:ln>
              <a:effectLst/>
            </c:spPr>
            <c:extLst>
              <c:ext xmlns:c16="http://schemas.microsoft.com/office/drawing/2014/chart" uri="{C3380CC4-5D6E-409C-BE32-E72D297353CC}">
                <c16:uniqueId val="{00000005-1786-452A-8276-11B6EE952BC4}"/>
              </c:ext>
            </c:extLst>
          </c:dPt>
          <c:dPt>
            <c:idx val="3"/>
            <c:invertIfNegative val="0"/>
            <c:bubble3D val="0"/>
            <c:spPr>
              <a:solidFill>
                <a:srgbClr val="4B77C5"/>
              </a:solidFill>
              <a:ln>
                <a:noFill/>
              </a:ln>
              <a:effectLst/>
            </c:spPr>
            <c:extLst>
              <c:ext xmlns:c16="http://schemas.microsoft.com/office/drawing/2014/chart" uri="{C3380CC4-5D6E-409C-BE32-E72D297353CC}">
                <c16:uniqueId val="{00000007-1786-452A-8276-11B6EE952BC4}"/>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Cliente'!$Q$48:$Q$50</c:f>
              <c:numCache>
                <c:formatCode>#,##0</c:formatCode>
                <c:ptCount val="3"/>
                <c:pt idx="0">
                  <c:v>0</c:v>
                </c:pt>
                <c:pt idx="1">
                  <c:v>1260</c:v>
                </c:pt>
                <c:pt idx="2">
                  <c:v>1260</c:v>
                </c:pt>
              </c:numCache>
            </c:numRef>
          </c:val>
          <c:extLst>
            <c:ext xmlns:c16="http://schemas.microsoft.com/office/drawing/2014/chart" uri="{C3380CC4-5D6E-409C-BE32-E72D297353CC}">
              <c16:uniqueId val="{00000008-1786-452A-8276-11B6EE952BC4}"/>
            </c:ext>
          </c:extLst>
        </c:ser>
        <c:ser>
          <c:idx val="1"/>
          <c:order val="1"/>
          <c:tx>
            <c:strRef>
              <c:f>'calcoli Cliente'!$R$47</c:f>
              <c:strCache>
                <c:ptCount val="1"/>
                <c:pt idx="0">
                  <c:v>LPP</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Cliente'!$R$48:$R$50</c:f>
              <c:numCache>
                <c:formatCode>#,##0</c:formatCode>
                <c:ptCount val="3"/>
                <c:pt idx="1">
                  <c:v>0</c:v>
                </c:pt>
                <c:pt idx="2">
                  <c:v>0</c:v>
                </c:pt>
              </c:numCache>
            </c:numRef>
          </c:val>
          <c:extLst>
            <c:ext xmlns:c16="http://schemas.microsoft.com/office/drawing/2014/chart" uri="{C3380CC4-5D6E-409C-BE32-E72D297353CC}">
              <c16:uniqueId val="{00000009-1786-452A-8276-11B6EE952BC4}"/>
            </c:ext>
          </c:extLst>
        </c:ser>
        <c:ser>
          <c:idx val="2"/>
          <c:order val="2"/>
          <c:tx>
            <c:strRef>
              <c:f>'calcoli Cliente'!$S$47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Cliente'!$S$48:$S$50</c:f>
              <c:numCache>
                <c:formatCode>#,##0</c:formatCode>
                <c:ptCount val="3"/>
              </c:numCache>
            </c:numRef>
          </c:val>
          <c:extLst>
            <c:ext xmlns:c16="http://schemas.microsoft.com/office/drawing/2014/chart" uri="{C3380CC4-5D6E-409C-BE32-E72D297353CC}">
              <c16:uniqueId val="{0000000A-1786-452A-8276-11B6EE952BC4}"/>
            </c:ext>
          </c:extLst>
        </c:ser>
        <c:ser>
          <c:idx val="3"/>
          <c:order val="3"/>
          <c:tx>
            <c:strRef>
              <c:f>'calcoli Cliente'!$T$47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86-452A-8276-11B6EE952BC4}"/>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Cliente'!$T$48:$T$50</c:f>
              <c:numCache>
                <c:formatCode>#,##0</c:formatCode>
                <c:ptCount val="3"/>
                <c:pt idx="1">
                  <c:v>0</c:v>
                </c:pt>
                <c:pt idx="2">
                  <c:v>0</c:v>
                </c:pt>
              </c:numCache>
            </c:numRef>
          </c:val>
          <c:extLst>
            <c:ext xmlns:c16="http://schemas.microsoft.com/office/drawing/2014/chart" uri="{C3380CC4-5D6E-409C-BE32-E72D297353CC}">
              <c16:uniqueId val="{0000000C-1786-452A-8276-11B6EE952BC4}"/>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EEBB-4375-8199-CDCBF93194B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EEBB-4375-8199-CDCBF93194B9}"/>
              </c:ext>
            </c:extLst>
          </c:dPt>
          <c:dPt>
            <c:idx val="2"/>
            <c:invertIfNegative val="0"/>
            <c:bubble3D val="0"/>
            <c:spPr>
              <a:solidFill>
                <a:srgbClr val="5D84CB"/>
              </a:solidFill>
              <a:ln>
                <a:noFill/>
              </a:ln>
              <a:effectLst/>
            </c:spPr>
            <c:extLst>
              <c:ext xmlns:c16="http://schemas.microsoft.com/office/drawing/2014/chart" uri="{C3380CC4-5D6E-409C-BE32-E72D297353CC}">
                <c16:uniqueId val="{00000005-EEBB-4375-8199-CDCBF93194B9}"/>
              </c:ext>
            </c:extLst>
          </c:dPt>
          <c:dPt>
            <c:idx val="3"/>
            <c:invertIfNegative val="0"/>
            <c:bubble3D val="0"/>
            <c:spPr>
              <a:solidFill>
                <a:srgbClr val="5D84CB"/>
              </a:solidFill>
              <a:ln>
                <a:noFill/>
              </a:ln>
              <a:effectLst/>
            </c:spPr>
            <c:extLst>
              <c:ext xmlns:c16="http://schemas.microsoft.com/office/drawing/2014/chart" uri="{C3380CC4-5D6E-409C-BE32-E72D297353CC}">
                <c16:uniqueId val="{00000007-EEBB-4375-8199-CDCBF93194B9}"/>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Cliente'!$S$33:$S$35</c:f>
              <c:numCache>
                <c:formatCode>#,##0</c:formatCode>
                <c:ptCount val="3"/>
                <c:pt idx="0">
                  <c:v>0</c:v>
                </c:pt>
                <c:pt idx="1">
                  <c:v>0</c:v>
                </c:pt>
                <c:pt idx="2">
                  <c:v>0</c:v>
                </c:pt>
              </c:numCache>
            </c:numRef>
          </c:val>
          <c:extLst>
            <c:ext xmlns:c16="http://schemas.microsoft.com/office/drawing/2014/chart" uri="{C3380CC4-5D6E-409C-BE32-E72D297353CC}">
              <c16:uniqueId val="{00000008-EEBB-4375-8199-CDCBF93194B9}"/>
            </c:ext>
          </c:extLst>
        </c:ser>
        <c:ser>
          <c:idx val="1"/>
          <c:order val="1"/>
          <c:tx>
            <c:strRef>
              <c:f>'calcoli Cliente'!$T$32</c:f>
              <c:strCache>
                <c:ptCount val="1"/>
                <c:pt idx="0">
                  <c:v>Rend. suppl. AVS figli</c:v>
                </c:pt>
              </c:strCache>
            </c:strRef>
          </c:tx>
          <c:spPr>
            <a:solidFill>
              <a:srgbClr val="A0B7E0"/>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EBB-4375-8199-CDCBF93194B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Cliente'!$T$33:$T$35</c:f>
              <c:numCache>
                <c:formatCode>#,##0</c:formatCode>
                <c:ptCount val="3"/>
                <c:pt idx="1">
                  <c:v>0</c:v>
                </c:pt>
              </c:numCache>
            </c:numRef>
          </c:val>
          <c:extLst>
            <c:ext xmlns:c16="http://schemas.microsoft.com/office/drawing/2014/chart" uri="{C3380CC4-5D6E-409C-BE32-E72D297353CC}">
              <c16:uniqueId val="{0000000B-EEBB-4375-8199-CDCBF93194B9}"/>
            </c:ext>
          </c:extLst>
        </c:ser>
        <c:ser>
          <c:idx val="2"/>
          <c:order val="2"/>
          <c:tx>
            <c:strRef>
              <c:f>'calcoli Cliente'!$U$32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Cliente'!$U$33:$U$35</c:f>
              <c:numCache>
                <c:formatCode>#,##0</c:formatCode>
                <c:ptCount val="3"/>
                <c:pt idx="1">
                  <c:v>0</c:v>
                </c:pt>
                <c:pt idx="2">
                  <c:v>0</c:v>
                </c:pt>
              </c:numCache>
            </c:numRef>
          </c:val>
          <c:extLst>
            <c:ext xmlns:c16="http://schemas.microsoft.com/office/drawing/2014/chart" uri="{C3380CC4-5D6E-409C-BE32-E72D297353CC}">
              <c16:uniqueId val="{0000000C-EEBB-4375-8199-CDCBF93194B9}"/>
            </c:ext>
          </c:extLst>
        </c:ser>
        <c:ser>
          <c:idx val="3"/>
          <c:order val="3"/>
          <c:tx>
            <c:strRef>
              <c:f>'calcoli Cliente'!$V$32</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BB-4375-8199-CDCBF93194B9}"/>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Cliente'!$V$33:$V$35</c:f>
              <c:numCache>
                <c:formatCode>#,##0</c:formatCode>
                <c:ptCount val="3"/>
                <c:pt idx="1">
                  <c:v>0</c:v>
                </c:pt>
              </c:numCache>
            </c:numRef>
          </c:val>
          <c:extLst>
            <c:ext xmlns:c16="http://schemas.microsoft.com/office/drawing/2014/chart" uri="{C3380CC4-5D6E-409C-BE32-E72D297353CC}">
              <c16:uniqueId val="{0000000E-EEBB-4375-8199-CDCBF93194B9}"/>
            </c:ext>
          </c:extLst>
        </c:ser>
        <c:ser>
          <c:idx val="4"/>
          <c:order val="4"/>
          <c:tx>
            <c:strRef>
              <c:f>'calcoli Cliente'!$W$32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Cliente'!$R$33:$R$35</c:f>
              <c:strCache>
                <c:ptCount val="3"/>
                <c:pt idx="0">
                  <c:v>Fabbisogno mensile</c:v>
                </c:pt>
                <c:pt idx="1">
                  <c:v>Vedovanza (con Figli):</c:v>
                </c:pt>
                <c:pt idx="2">
                  <c:v>Vedovanza (senza Figli):</c:v>
                </c:pt>
              </c:strCache>
            </c:strRef>
          </c:cat>
          <c:val>
            <c:numRef>
              <c:f>'calcoli Cliente'!$W$33:$W$35</c:f>
              <c:numCache>
                <c:formatCode>#,##0</c:formatCode>
                <c:ptCount val="3"/>
                <c:pt idx="1">
                  <c:v>0</c:v>
                </c:pt>
                <c:pt idx="2">
                  <c:v>0</c:v>
                </c:pt>
              </c:numCache>
            </c:numRef>
          </c:val>
          <c:extLst>
            <c:ext xmlns:c16="http://schemas.microsoft.com/office/drawing/2014/chart" uri="{C3380CC4-5D6E-409C-BE32-E72D297353CC}">
              <c16:uniqueId val="{0000000F-EEBB-4375-8199-CDCBF93194B9}"/>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Cliente'!$Q$47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17DA-4D3B-BFD8-E2B9313007A3}"/>
              </c:ext>
            </c:extLst>
          </c:dPt>
          <c:dPt>
            <c:idx val="1"/>
            <c:invertIfNegative val="0"/>
            <c:bubble3D val="0"/>
            <c:spPr>
              <a:solidFill>
                <a:srgbClr val="2F5291"/>
              </a:solidFill>
              <a:ln>
                <a:noFill/>
              </a:ln>
              <a:effectLst/>
            </c:spPr>
            <c:extLst>
              <c:ext xmlns:c16="http://schemas.microsoft.com/office/drawing/2014/chart" uri="{C3380CC4-5D6E-409C-BE32-E72D297353CC}">
                <c16:uniqueId val="{00000003-17DA-4D3B-BFD8-E2B9313007A3}"/>
              </c:ext>
            </c:extLst>
          </c:dPt>
          <c:dPt>
            <c:idx val="2"/>
            <c:invertIfNegative val="0"/>
            <c:bubble3D val="0"/>
            <c:spPr>
              <a:solidFill>
                <a:srgbClr val="4B77C5"/>
              </a:solidFill>
              <a:ln>
                <a:noFill/>
              </a:ln>
              <a:effectLst/>
            </c:spPr>
            <c:extLst>
              <c:ext xmlns:c16="http://schemas.microsoft.com/office/drawing/2014/chart" uri="{C3380CC4-5D6E-409C-BE32-E72D297353CC}">
                <c16:uniqueId val="{00000005-17DA-4D3B-BFD8-E2B9313007A3}"/>
              </c:ext>
            </c:extLst>
          </c:dPt>
          <c:dPt>
            <c:idx val="3"/>
            <c:invertIfNegative val="0"/>
            <c:bubble3D val="0"/>
            <c:spPr>
              <a:solidFill>
                <a:srgbClr val="4B77C5"/>
              </a:solidFill>
              <a:ln>
                <a:noFill/>
              </a:ln>
              <a:effectLst/>
            </c:spPr>
            <c:extLst>
              <c:ext xmlns:c16="http://schemas.microsoft.com/office/drawing/2014/chart" uri="{C3380CC4-5D6E-409C-BE32-E72D297353CC}">
                <c16:uniqueId val="{00000007-17DA-4D3B-BFD8-E2B9313007A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Cliente'!$Q$48:$Q$50</c:f>
              <c:numCache>
                <c:formatCode>#,##0</c:formatCode>
                <c:ptCount val="3"/>
                <c:pt idx="0">
                  <c:v>0</c:v>
                </c:pt>
                <c:pt idx="1">
                  <c:v>1260</c:v>
                </c:pt>
                <c:pt idx="2">
                  <c:v>1260</c:v>
                </c:pt>
              </c:numCache>
            </c:numRef>
          </c:val>
          <c:extLst>
            <c:ext xmlns:c16="http://schemas.microsoft.com/office/drawing/2014/chart" uri="{C3380CC4-5D6E-409C-BE32-E72D297353CC}">
              <c16:uniqueId val="{00000008-17DA-4D3B-BFD8-E2B9313007A3}"/>
            </c:ext>
          </c:extLst>
        </c:ser>
        <c:ser>
          <c:idx val="1"/>
          <c:order val="1"/>
          <c:tx>
            <c:strRef>
              <c:f>'calcoli Cliente'!$R$47</c:f>
              <c:strCache>
                <c:ptCount val="1"/>
                <c:pt idx="0">
                  <c:v>LPP</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Cliente'!$R$48:$R$50</c:f>
              <c:numCache>
                <c:formatCode>#,##0</c:formatCode>
                <c:ptCount val="3"/>
                <c:pt idx="1">
                  <c:v>0</c:v>
                </c:pt>
                <c:pt idx="2">
                  <c:v>0</c:v>
                </c:pt>
              </c:numCache>
            </c:numRef>
          </c:val>
          <c:extLst>
            <c:ext xmlns:c16="http://schemas.microsoft.com/office/drawing/2014/chart" uri="{C3380CC4-5D6E-409C-BE32-E72D297353CC}">
              <c16:uniqueId val="{00000009-17DA-4D3B-BFD8-E2B9313007A3}"/>
            </c:ext>
          </c:extLst>
        </c:ser>
        <c:ser>
          <c:idx val="2"/>
          <c:order val="2"/>
          <c:tx>
            <c:strRef>
              <c:f>'calcoli Cliente'!$S$47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Cliente'!$S$48:$S$50</c:f>
              <c:numCache>
                <c:formatCode>#,##0</c:formatCode>
                <c:ptCount val="3"/>
              </c:numCache>
            </c:numRef>
          </c:val>
          <c:extLst>
            <c:ext xmlns:c16="http://schemas.microsoft.com/office/drawing/2014/chart" uri="{C3380CC4-5D6E-409C-BE32-E72D297353CC}">
              <c16:uniqueId val="{0000000A-17DA-4D3B-BFD8-E2B9313007A3}"/>
            </c:ext>
          </c:extLst>
        </c:ser>
        <c:ser>
          <c:idx val="3"/>
          <c:order val="3"/>
          <c:tx>
            <c:strRef>
              <c:f>'calcoli Cliente'!$T$47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DA-4D3B-BFD8-E2B9313007A3}"/>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Cliente'!$T$48:$T$50</c:f>
              <c:numCache>
                <c:formatCode>#,##0</c:formatCode>
                <c:ptCount val="3"/>
                <c:pt idx="1">
                  <c:v>0</c:v>
                </c:pt>
                <c:pt idx="2">
                  <c:v>0</c:v>
                </c:pt>
              </c:numCache>
            </c:numRef>
          </c:val>
          <c:extLst>
            <c:ext xmlns:c16="http://schemas.microsoft.com/office/drawing/2014/chart" uri="{C3380CC4-5D6E-409C-BE32-E72D297353CC}">
              <c16:uniqueId val="{0000000C-17DA-4D3B-BFD8-E2B9313007A3}"/>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Cliente'!$K$47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91F0-4261-8936-77C108B46832}"/>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1F0-4261-8936-77C108B46832}"/>
              </c:ext>
            </c:extLst>
          </c:dPt>
          <c:dPt>
            <c:idx val="2"/>
            <c:invertIfNegative val="0"/>
            <c:bubble3D val="0"/>
            <c:spPr>
              <a:solidFill>
                <a:srgbClr val="5D84CB"/>
              </a:solidFill>
              <a:ln>
                <a:noFill/>
              </a:ln>
              <a:effectLst/>
            </c:spPr>
            <c:extLst>
              <c:ext xmlns:c16="http://schemas.microsoft.com/office/drawing/2014/chart" uri="{C3380CC4-5D6E-409C-BE32-E72D297353CC}">
                <c16:uniqueId val="{00000005-91F0-4261-8936-77C108B46832}"/>
              </c:ext>
            </c:extLst>
          </c:dPt>
          <c:dPt>
            <c:idx val="3"/>
            <c:invertIfNegative val="0"/>
            <c:bubble3D val="0"/>
            <c:spPr>
              <a:solidFill>
                <a:srgbClr val="5D84CB"/>
              </a:solidFill>
              <a:ln>
                <a:noFill/>
              </a:ln>
              <a:effectLst/>
            </c:spPr>
            <c:extLst>
              <c:ext xmlns:c16="http://schemas.microsoft.com/office/drawing/2014/chart" uri="{C3380CC4-5D6E-409C-BE32-E72D297353CC}">
                <c16:uniqueId val="{00000007-91F0-4261-8936-77C108B46832}"/>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Cliente'!$K$48:$K$50</c:f>
              <c:numCache>
                <c:formatCode>#,##0</c:formatCode>
                <c:ptCount val="3"/>
                <c:pt idx="0">
                  <c:v>0</c:v>
                </c:pt>
                <c:pt idx="1">
                  <c:v>1260</c:v>
                </c:pt>
                <c:pt idx="2">
                  <c:v>1260</c:v>
                </c:pt>
              </c:numCache>
            </c:numRef>
          </c:val>
          <c:extLst>
            <c:ext xmlns:c16="http://schemas.microsoft.com/office/drawing/2014/chart" uri="{C3380CC4-5D6E-409C-BE32-E72D297353CC}">
              <c16:uniqueId val="{00000008-91F0-4261-8936-77C108B46832}"/>
            </c:ext>
          </c:extLst>
        </c:ser>
        <c:ser>
          <c:idx val="1"/>
          <c:order val="1"/>
          <c:tx>
            <c:strRef>
              <c:f>'calcoli Cliente'!$L$47</c:f>
              <c:strCache>
                <c:ptCount val="1"/>
                <c:pt idx="0">
                  <c:v>LPP</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Cliente'!$L$48:$L$50</c:f>
              <c:numCache>
                <c:formatCode>#,##0</c:formatCode>
                <c:ptCount val="3"/>
                <c:pt idx="1">
                  <c:v>0</c:v>
                </c:pt>
                <c:pt idx="2">
                  <c:v>0</c:v>
                </c:pt>
              </c:numCache>
            </c:numRef>
          </c:val>
          <c:extLst>
            <c:ext xmlns:c16="http://schemas.microsoft.com/office/drawing/2014/chart" uri="{C3380CC4-5D6E-409C-BE32-E72D297353CC}">
              <c16:uniqueId val="{00000009-91F0-4261-8936-77C108B46832}"/>
            </c:ext>
          </c:extLst>
        </c:ser>
        <c:ser>
          <c:idx val="2"/>
          <c:order val="2"/>
          <c:tx>
            <c:strRef>
              <c:f>'calcoli Cliente'!$M$47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Cliente'!$M$48:$M$50</c:f>
              <c:numCache>
                <c:formatCode>#,##0</c:formatCode>
                <c:ptCount val="3"/>
                <c:pt idx="1">
                  <c:v>0</c:v>
                </c:pt>
                <c:pt idx="2">
                  <c:v>0</c:v>
                </c:pt>
              </c:numCache>
            </c:numRef>
          </c:val>
          <c:extLst>
            <c:ext xmlns:c16="http://schemas.microsoft.com/office/drawing/2014/chart" uri="{C3380CC4-5D6E-409C-BE32-E72D297353CC}">
              <c16:uniqueId val="{0000000A-91F0-4261-8936-77C108B46832}"/>
            </c:ext>
          </c:extLst>
        </c:ser>
        <c:ser>
          <c:idx val="3"/>
          <c:order val="3"/>
          <c:tx>
            <c:strRef>
              <c:f>'calcoli Cliente'!$N$47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F0-4261-8936-77C108B46832}"/>
                </c:ext>
              </c:extLst>
            </c:dLbl>
            <c:spPr>
              <a:noFill/>
              <a:ln>
                <a:noFill/>
              </a:ln>
              <a:effectLst/>
            </c:spPr>
            <c:txPr>
              <a:bodyPr rot="0" spcFirstLastPara="1" vertOverflow="ellipsis" vert="horz" wrap="square" anchor="ctr" anchorCtr="1"/>
              <a:lstStyle/>
              <a:p>
                <a:pPr>
                  <a:defRPr sz="10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Cliente'!$J$48:$J$50</c:f>
              <c:strCache>
                <c:ptCount val="3"/>
                <c:pt idx="0">
                  <c:v>Fabbisogno mensile</c:v>
                </c:pt>
                <c:pt idx="1">
                  <c:v>Pensione (senza Splitting:)</c:v>
                </c:pt>
                <c:pt idx="2">
                  <c:v>Con splitting:</c:v>
                </c:pt>
              </c:strCache>
            </c:strRef>
          </c:cat>
          <c:val>
            <c:numRef>
              <c:f>'calcoli Cliente'!$N$48:$N$50</c:f>
              <c:numCache>
                <c:formatCode>#,##0</c:formatCode>
                <c:ptCount val="3"/>
                <c:pt idx="1">
                  <c:v>0</c:v>
                </c:pt>
                <c:pt idx="2">
                  <c:v>0</c:v>
                </c:pt>
              </c:numCache>
            </c:numRef>
          </c:val>
          <c:extLst>
            <c:ext xmlns:c16="http://schemas.microsoft.com/office/drawing/2014/chart" uri="{C3380CC4-5D6E-409C-BE32-E72D297353CC}">
              <c16:uniqueId val="{0000000C-91F0-4261-8936-77C108B46832}"/>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accent1">
                    <a:lumMod val="7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00" b="0" i="0" u="none" strike="noStrike" kern="1200" baseline="0">
                <a:solidFill>
                  <a:srgbClr val="002060"/>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solidFill>
            <a:schemeClr val="accent1">
              <a:lumMod val="75000"/>
            </a:schemeClr>
          </a:solidFill>
        </a:defRPr>
      </a:pPr>
      <a:endParaRPr lang="it-CH"/>
    </a:p>
  </c:txPr>
  <c:printSettings>
    <c:headerFooter/>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7E73-4569-9DE2-EA9BA5C657B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E73-4569-9DE2-EA9BA5C657B5}"/>
              </c:ext>
            </c:extLst>
          </c:dPt>
          <c:dPt>
            <c:idx val="2"/>
            <c:invertIfNegative val="0"/>
            <c:bubble3D val="0"/>
            <c:spPr>
              <a:solidFill>
                <a:srgbClr val="5D84CB"/>
              </a:solidFill>
              <a:ln>
                <a:noFill/>
              </a:ln>
              <a:effectLst/>
            </c:spPr>
            <c:extLst>
              <c:ext xmlns:c16="http://schemas.microsoft.com/office/drawing/2014/chart" uri="{C3380CC4-5D6E-409C-BE32-E72D297353CC}">
                <c16:uniqueId val="{00000005-7E73-4569-9DE2-EA9BA5C657B5}"/>
              </c:ext>
            </c:extLst>
          </c:dPt>
          <c:dPt>
            <c:idx val="3"/>
            <c:invertIfNegative val="0"/>
            <c:bubble3D val="0"/>
            <c:spPr>
              <a:solidFill>
                <a:srgbClr val="5D84CB"/>
              </a:solidFill>
              <a:ln>
                <a:noFill/>
              </a:ln>
              <a:effectLst/>
            </c:spPr>
            <c:extLst>
              <c:ext xmlns:c16="http://schemas.microsoft.com/office/drawing/2014/chart" uri="{C3380CC4-5D6E-409C-BE32-E72D297353CC}">
                <c16:uniqueId val="{00000007-7E73-4569-9DE2-EA9BA5C657B5}"/>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Cliente'!$S$27:$S$30</c:f>
              <c:numCache>
                <c:formatCode>#,##0</c:formatCode>
                <c:ptCount val="4"/>
                <c:pt idx="0">
                  <c:v>0</c:v>
                </c:pt>
                <c:pt idx="1">
                  <c:v>0</c:v>
                </c:pt>
                <c:pt idx="2">
                  <c:v>1260</c:v>
                </c:pt>
                <c:pt idx="3">
                  <c:v>1260</c:v>
                </c:pt>
              </c:numCache>
            </c:numRef>
          </c:val>
          <c:extLst>
            <c:ext xmlns:c16="http://schemas.microsoft.com/office/drawing/2014/chart" uri="{C3380CC4-5D6E-409C-BE32-E72D297353CC}">
              <c16:uniqueId val="{00000008-7E73-4569-9DE2-EA9BA5C657B5}"/>
            </c:ext>
          </c:extLst>
        </c:ser>
        <c:ser>
          <c:idx val="1"/>
          <c:order val="1"/>
          <c:tx>
            <c:strRef>
              <c:f>'calcoli Cliente'!$T$26</c:f>
              <c:strCache>
                <c:ptCount val="1"/>
                <c:pt idx="0">
                  <c:v>Rend. suppl. AI figli</c:v>
                </c:pt>
              </c:strCache>
            </c:strRef>
          </c:tx>
          <c:spPr>
            <a:solidFill>
              <a:srgbClr val="A0B7E0"/>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73-4569-9DE2-EA9BA5C657B5}"/>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73-4569-9DE2-EA9BA5C657B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Cliente'!$T$27:$T$30</c:f>
              <c:numCache>
                <c:formatCode>#,##0</c:formatCode>
                <c:ptCount val="4"/>
                <c:pt idx="2">
                  <c:v>0</c:v>
                </c:pt>
              </c:numCache>
            </c:numRef>
          </c:val>
          <c:extLst>
            <c:ext xmlns:c16="http://schemas.microsoft.com/office/drawing/2014/chart" uri="{C3380CC4-5D6E-409C-BE32-E72D297353CC}">
              <c16:uniqueId val="{0000000B-7E73-4569-9DE2-EA9BA5C657B5}"/>
            </c:ext>
          </c:extLst>
        </c:ser>
        <c:ser>
          <c:idx val="2"/>
          <c:order val="2"/>
          <c:tx>
            <c:strRef>
              <c:f>'calcoli Cliente'!$U$26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Cliente'!$U$27:$U$30</c:f>
              <c:numCache>
                <c:formatCode>#,##0</c:formatCode>
                <c:ptCount val="4"/>
                <c:pt idx="2">
                  <c:v>0</c:v>
                </c:pt>
                <c:pt idx="3">
                  <c:v>0</c:v>
                </c:pt>
              </c:numCache>
            </c:numRef>
          </c:val>
          <c:extLst>
            <c:ext xmlns:c16="http://schemas.microsoft.com/office/drawing/2014/chart" uri="{C3380CC4-5D6E-409C-BE32-E72D297353CC}">
              <c16:uniqueId val="{0000000C-7E73-4569-9DE2-EA9BA5C657B5}"/>
            </c:ext>
          </c:extLst>
        </c:ser>
        <c:ser>
          <c:idx val="3"/>
          <c:order val="3"/>
          <c:tx>
            <c:strRef>
              <c:f>'calcoli Cliente'!$V$26</c:f>
              <c:strCache>
                <c:ptCount val="1"/>
                <c:pt idx="0">
                  <c:v>Rend. suppl. LPP figli</c:v>
                </c:pt>
              </c:strCache>
            </c:strRef>
          </c:tx>
          <c:spPr>
            <a:solidFill>
              <a:srgbClr val="AAEEEC">
                <a:alpha val="67059"/>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73-4569-9DE2-EA9BA5C657B5}"/>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Cliente'!$V$27:$V$30</c:f>
              <c:numCache>
                <c:formatCode>#,##0</c:formatCode>
                <c:ptCount val="4"/>
                <c:pt idx="2">
                  <c:v>0</c:v>
                </c:pt>
              </c:numCache>
            </c:numRef>
          </c:val>
          <c:extLst>
            <c:ext xmlns:c16="http://schemas.microsoft.com/office/drawing/2014/chart" uri="{C3380CC4-5D6E-409C-BE32-E72D297353CC}">
              <c16:uniqueId val="{0000000E-7E73-4569-9DE2-EA9BA5C657B5}"/>
            </c:ext>
          </c:extLst>
        </c:ser>
        <c:ser>
          <c:idx val="4"/>
          <c:order val="4"/>
          <c:tx>
            <c:strRef>
              <c:f>'calcoli Cliente'!$W$26</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Cliente'!$R$27:$R$30</c:f>
              <c:strCache>
                <c:ptCount val="4"/>
                <c:pt idx="0">
                  <c:v>Fabbisogno mensile</c:v>
                </c:pt>
                <c:pt idx="1">
                  <c:v>Malattia: I.G. - 720 gg.</c:v>
                </c:pt>
                <c:pt idx="2">
                  <c:v>Inv. con suppl. x figli &lt; 18/25 anni</c:v>
                </c:pt>
                <c:pt idx="3">
                  <c:v>Inv. (senza Figli)</c:v>
                </c:pt>
              </c:strCache>
            </c:strRef>
          </c:cat>
          <c:val>
            <c:numRef>
              <c:f>'calcoli Cliente'!$W$27:$W$30</c:f>
              <c:numCache>
                <c:formatCode>#,##0</c:formatCode>
                <c:ptCount val="4"/>
                <c:pt idx="1">
                  <c:v>0</c:v>
                </c:pt>
                <c:pt idx="2">
                  <c:v>0</c:v>
                </c:pt>
                <c:pt idx="3">
                  <c:v>0</c:v>
                </c:pt>
              </c:numCache>
            </c:numRef>
          </c:val>
          <c:extLst>
            <c:ext xmlns:c16="http://schemas.microsoft.com/office/drawing/2014/chart" uri="{C3380CC4-5D6E-409C-BE32-E72D297353CC}">
              <c16:uniqueId val="{0000000F-7E73-4569-9DE2-EA9BA5C657B5}"/>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2.779531980136991E-2"/>
          <c:w val="0.88368214732400474"/>
          <c:h val="0.78025760312421777"/>
        </c:manualLayout>
      </c:layout>
      <c:barChart>
        <c:barDir val="col"/>
        <c:grouping val="percentStacked"/>
        <c:varyColors val="0"/>
        <c:ser>
          <c:idx val="0"/>
          <c:order val="0"/>
          <c:tx>
            <c:strRef>
              <c:f>'calcoli Cliente'!$Q$47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ACAB-48EB-B07F-EA2EEFAAD913}"/>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ACAB-48EB-B07F-EA2EEFAAD913}"/>
              </c:ext>
            </c:extLst>
          </c:dPt>
          <c:dPt>
            <c:idx val="2"/>
            <c:invertIfNegative val="0"/>
            <c:bubble3D val="0"/>
            <c:spPr>
              <a:solidFill>
                <a:srgbClr val="5D84CB"/>
              </a:solidFill>
              <a:ln>
                <a:noFill/>
              </a:ln>
              <a:effectLst/>
            </c:spPr>
            <c:extLst>
              <c:ext xmlns:c16="http://schemas.microsoft.com/office/drawing/2014/chart" uri="{C3380CC4-5D6E-409C-BE32-E72D297353CC}">
                <c16:uniqueId val="{00000005-ACAB-48EB-B07F-EA2EEFAAD913}"/>
              </c:ext>
            </c:extLst>
          </c:dPt>
          <c:dPt>
            <c:idx val="3"/>
            <c:invertIfNegative val="0"/>
            <c:bubble3D val="0"/>
            <c:spPr>
              <a:solidFill>
                <a:srgbClr val="5D84CB"/>
              </a:solidFill>
              <a:ln>
                <a:noFill/>
              </a:ln>
              <a:effectLst/>
            </c:spPr>
            <c:extLst>
              <c:ext xmlns:c16="http://schemas.microsoft.com/office/drawing/2014/chart" uri="{C3380CC4-5D6E-409C-BE32-E72D297353CC}">
                <c16:uniqueId val="{00000007-ACAB-48EB-B07F-EA2EEFAAD91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Cliente'!$Q$48:$Q$50</c:f>
              <c:numCache>
                <c:formatCode>#,##0</c:formatCode>
                <c:ptCount val="3"/>
                <c:pt idx="0">
                  <c:v>0</c:v>
                </c:pt>
                <c:pt idx="1">
                  <c:v>1260</c:v>
                </c:pt>
                <c:pt idx="2">
                  <c:v>1260</c:v>
                </c:pt>
              </c:numCache>
            </c:numRef>
          </c:val>
          <c:extLst>
            <c:ext xmlns:c16="http://schemas.microsoft.com/office/drawing/2014/chart" uri="{C3380CC4-5D6E-409C-BE32-E72D297353CC}">
              <c16:uniqueId val="{00000008-ACAB-48EB-B07F-EA2EEFAAD913}"/>
            </c:ext>
          </c:extLst>
        </c:ser>
        <c:ser>
          <c:idx val="1"/>
          <c:order val="1"/>
          <c:tx>
            <c:strRef>
              <c:f>'calcoli Cliente'!$R$47</c:f>
              <c:strCache>
                <c:ptCount val="1"/>
                <c:pt idx="0">
                  <c:v>LPP</c:v>
                </c:pt>
              </c:strCache>
            </c:strRef>
          </c:tx>
          <c:spPr>
            <a:solidFill>
              <a:srgbClr val="A0B7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Cliente'!$R$48:$R$50</c:f>
              <c:numCache>
                <c:formatCode>#,##0</c:formatCode>
                <c:ptCount val="3"/>
                <c:pt idx="1">
                  <c:v>0</c:v>
                </c:pt>
                <c:pt idx="2">
                  <c:v>0</c:v>
                </c:pt>
              </c:numCache>
            </c:numRef>
          </c:val>
          <c:extLst>
            <c:ext xmlns:c16="http://schemas.microsoft.com/office/drawing/2014/chart" uri="{C3380CC4-5D6E-409C-BE32-E72D297353CC}">
              <c16:uniqueId val="{0000000A-ACAB-48EB-B07F-EA2EEFAAD913}"/>
            </c:ext>
          </c:extLst>
        </c:ser>
        <c:ser>
          <c:idx val="2"/>
          <c:order val="2"/>
          <c:tx>
            <c:strRef>
              <c:f>'calcoli Cliente'!$S$47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Cliente'!$S$48:$S$50</c:f>
              <c:numCache>
                <c:formatCode>#,##0</c:formatCode>
                <c:ptCount val="3"/>
              </c:numCache>
            </c:numRef>
          </c:val>
          <c:extLst>
            <c:ext xmlns:c16="http://schemas.microsoft.com/office/drawing/2014/chart" uri="{C3380CC4-5D6E-409C-BE32-E72D297353CC}">
              <c16:uniqueId val="{0000000B-ACAB-48EB-B07F-EA2EEFAAD913}"/>
            </c:ext>
          </c:extLst>
        </c:ser>
        <c:ser>
          <c:idx val="3"/>
          <c:order val="3"/>
          <c:tx>
            <c:strRef>
              <c:f>'calcoli Cliente'!$T$47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AB-48EB-B07F-EA2EEFAAD913}"/>
                </c:ext>
              </c:extLst>
            </c:dLbl>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Cliente'!$P$48:$P$50</c:f>
              <c:strCache>
                <c:ptCount val="3"/>
                <c:pt idx="0">
                  <c:v>Fabbisogno mensile</c:v>
                </c:pt>
                <c:pt idx="1">
                  <c:v>Pensione (senza Splitting:)</c:v>
                </c:pt>
                <c:pt idx="2">
                  <c:v>Con splitting:</c:v>
                </c:pt>
              </c:strCache>
            </c:strRef>
          </c:cat>
          <c:val>
            <c:numRef>
              <c:f>'calcoli Cliente'!$T$48:$T$50</c:f>
              <c:numCache>
                <c:formatCode>#,##0</c:formatCode>
                <c:ptCount val="3"/>
                <c:pt idx="1">
                  <c:v>0</c:v>
                </c:pt>
                <c:pt idx="2">
                  <c:v>0</c:v>
                </c:pt>
              </c:numCache>
            </c:numRef>
          </c:val>
          <c:extLst>
            <c:ext xmlns:c16="http://schemas.microsoft.com/office/drawing/2014/chart" uri="{C3380CC4-5D6E-409C-BE32-E72D297353CC}">
              <c16:uniqueId val="{0000000D-ACAB-48EB-B07F-EA2EEFAAD913}"/>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rgbClr val="002060"/>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INFORTUNIO / UNFALL / ACCIDENT</a:t>
            </a:r>
            <a:endParaRPr lang="it-CH"/>
          </a:p>
        </c:rich>
      </c:tx>
      <c:layout>
        <c:manualLayout>
          <c:xMode val="edge"/>
          <c:yMode val="edge"/>
          <c:x val="0.32014577685985968"/>
          <c:y val="5.4988467350672074E-2"/>
        </c:manualLayout>
      </c:layout>
      <c:overlay val="0"/>
      <c:spPr>
        <a:noFill/>
        <a:ln w="25400">
          <a:noFill/>
        </a:ln>
      </c:spPr>
    </c:title>
    <c:autoTitleDeleted val="0"/>
    <c:plotArea>
      <c:layout>
        <c:manualLayout>
          <c:layoutTarget val="inner"/>
          <c:xMode val="edge"/>
          <c:yMode val="edge"/>
          <c:x val="0.17637565725125484"/>
          <c:y val="0.34587569312104965"/>
          <c:w val="0.77399802987929311"/>
          <c:h val="0.39098991396292571"/>
        </c:manualLayout>
      </c:layout>
      <c:barChart>
        <c:barDir val="col"/>
        <c:grouping val="percentStacked"/>
        <c:varyColors val="0"/>
        <c:ser>
          <c:idx val="0"/>
          <c:order val="0"/>
          <c:tx>
            <c:strRef>
              <c:f>'calcoli Cliente'!$B$37</c:f>
              <c:strCache>
                <c:ptCount val="1"/>
                <c:pt idx="0">
                  <c:v>Redditi / Rendite 1. e 2. pilastro</c:v>
                </c:pt>
              </c:strCache>
            </c:strRef>
          </c:tx>
          <c:spPr>
            <a:solidFill>
              <a:srgbClr val="004586"/>
            </a:solidFill>
            <a:ln w="25400">
              <a:noFill/>
            </a:ln>
          </c:spPr>
          <c:invertIfNegative val="0"/>
          <c:cat>
            <c:strRef>
              <c:f>'calcoli Cliente'!$A$38:$A$40</c:f>
              <c:strCache>
                <c:ptCount val="3"/>
                <c:pt idx="0">
                  <c:v>Fabbisogno</c:v>
                </c:pt>
                <c:pt idx="1">
                  <c:v>i.g. Inortunio</c:v>
                </c:pt>
                <c:pt idx="2">
                  <c:v>Inv. Infortunio</c:v>
                </c:pt>
              </c:strCache>
            </c:strRef>
          </c:cat>
          <c:val>
            <c:numRef>
              <c:f>'calcoli Cliente'!$B$38:$B$40</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608E-4BBD-BB54-F1EB3BA25BBF}"/>
            </c:ext>
          </c:extLst>
        </c:ser>
        <c:ser>
          <c:idx val="1"/>
          <c:order val="1"/>
          <c:tx>
            <c:strRef>
              <c:f>'calcoli Cliente'!$D$37</c:f>
              <c:strCache>
                <c:ptCount val="1"/>
                <c:pt idx="0">
                  <c:v>Lacune</c:v>
                </c:pt>
              </c:strCache>
            </c:strRef>
          </c:tx>
          <c:spPr>
            <a:solidFill>
              <a:srgbClr val="FF0000"/>
            </a:solidFill>
          </c:spPr>
          <c:invertIfNegative val="0"/>
          <c:cat>
            <c:strRef>
              <c:f>'calcoli Cliente'!$A$38:$A$40</c:f>
              <c:strCache>
                <c:ptCount val="3"/>
                <c:pt idx="0">
                  <c:v>Fabbisogno</c:v>
                </c:pt>
                <c:pt idx="1">
                  <c:v>i.g. Inortunio</c:v>
                </c:pt>
                <c:pt idx="2">
                  <c:v>Inv. Infortunio</c:v>
                </c:pt>
              </c:strCache>
            </c:strRef>
          </c:cat>
          <c:val>
            <c:numRef>
              <c:f>'calcoli Cliente'!$D$38:$D$40</c:f>
              <c:numCache>
                <c:formatCode>_-* #,##0.00" CHF"_-;\-* #,##0.00" CHF"_-;_-* \-??" CHF"_-;_-@_-</c:formatCode>
                <c:ptCount val="3"/>
                <c:pt idx="1">
                  <c:v>0</c:v>
                </c:pt>
                <c:pt idx="2">
                  <c:v>0</c:v>
                </c:pt>
              </c:numCache>
            </c:numRef>
          </c:val>
          <c:extLst>
            <c:ext xmlns:c16="http://schemas.microsoft.com/office/drawing/2014/chart" uri="{C3380CC4-5D6E-409C-BE32-E72D297353CC}">
              <c16:uniqueId val="{00000001-FB0B-4339-A409-7F121F0AF547}"/>
            </c:ext>
          </c:extLst>
        </c:ser>
        <c:dLbls>
          <c:showLegendKey val="0"/>
          <c:showVal val="0"/>
          <c:showCatName val="0"/>
          <c:showSerName val="0"/>
          <c:showPercent val="0"/>
          <c:showBubbleSize val="0"/>
        </c:dLbls>
        <c:gapWidth val="100"/>
        <c:overlap val="100"/>
        <c:axId val="1265988991"/>
        <c:axId val="1"/>
      </c:barChart>
      <c:catAx>
        <c:axId val="126598899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5988991"/>
        <c:crossesAt val="1"/>
        <c:crossBetween val="between"/>
      </c:valAx>
      <c:spPr>
        <a:noFill/>
        <a:ln w="3175">
          <a:solidFill>
            <a:srgbClr val="B3B3B3"/>
          </a:solidFill>
          <a:prstDash val="solid"/>
        </a:ln>
      </c:spPr>
    </c:plotArea>
    <c:legend>
      <c:legendPos val="b"/>
      <c:layout>
        <c:manualLayout>
          <c:xMode val="edge"/>
          <c:yMode val="edge"/>
          <c:x val="0.38769433329030595"/>
          <c:y val="0.16553209257933671"/>
          <c:w val="0.32807744933522659"/>
          <c:h val="6.660303825658156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MALATTIA / KRANKHEIT / MALADIE</a:t>
            </a:r>
            <a:endParaRPr lang="it-CH"/>
          </a:p>
        </c:rich>
      </c:tx>
      <c:layout>
        <c:manualLayout>
          <c:xMode val="edge"/>
          <c:yMode val="edge"/>
          <c:x val="0.29624258440297707"/>
          <c:y val="8.6645478406108326E-2"/>
        </c:manualLayout>
      </c:layout>
      <c:overlay val="0"/>
      <c:spPr>
        <a:noFill/>
        <a:ln w="25400">
          <a:noFill/>
        </a:ln>
      </c:spPr>
    </c:title>
    <c:autoTitleDeleted val="0"/>
    <c:plotArea>
      <c:layout>
        <c:manualLayout>
          <c:layoutTarget val="inner"/>
          <c:xMode val="edge"/>
          <c:yMode val="edge"/>
          <c:x val="0.15240226694525905"/>
          <c:y val="0.3140897804608343"/>
          <c:w val="0.79454665014157522"/>
          <c:h val="0.57041592313576805"/>
        </c:manualLayout>
      </c:layout>
      <c:barChart>
        <c:barDir val="col"/>
        <c:grouping val="percentStacked"/>
        <c:varyColors val="0"/>
        <c:ser>
          <c:idx val="0"/>
          <c:order val="0"/>
          <c:tx>
            <c:strRef>
              <c:f>'calcoli Cliente'!$B$26</c:f>
              <c:strCache>
                <c:ptCount val="1"/>
                <c:pt idx="0">
                  <c:v>Redditi / Rendite 1. e 2. pilastro</c:v>
                </c:pt>
              </c:strCache>
            </c:strRef>
          </c:tx>
          <c:spPr>
            <a:solidFill>
              <a:srgbClr val="004586"/>
            </a:solidFill>
            <a:ln w="25400">
              <a:noFill/>
            </a:ln>
          </c:spPr>
          <c:invertIfNegative val="0"/>
          <c:cat>
            <c:strRef>
              <c:f>'calcoli Cliente'!$A$27:$A$30</c:f>
              <c:strCache>
                <c:ptCount val="4"/>
                <c:pt idx="0">
                  <c:v>Fabbisogno mensile</c:v>
                </c:pt>
                <c:pt idx="1">
                  <c:v>Malattia: I.G. - 720 gg.</c:v>
                </c:pt>
                <c:pt idx="2">
                  <c:v>Inv. con suppl. x figli &lt; 18/25 anni</c:v>
                </c:pt>
                <c:pt idx="3">
                  <c:v>Inv. (senza Figli)</c:v>
                </c:pt>
              </c:strCache>
            </c:strRef>
          </c:cat>
          <c:val>
            <c:numRef>
              <c:f>'calcoli Cliente'!$B$27:$B$30</c:f>
              <c:numCache>
                <c:formatCode>_-* #,##0.00" CHF"_-;\-* #,##0.00" CHF"_-;_-* \-??" CHF"_-;_-@_-</c:formatCode>
                <c:ptCount val="4"/>
                <c:pt idx="0">
                  <c:v>0</c:v>
                </c:pt>
                <c:pt idx="1">
                  <c:v>0</c:v>
                </c:pt>
                <c:pt idx="2">
                  <c:v>15120</c:v>
                </c:pt>
                <c:pt idx="3">
                  <c:v>15120</c:v>
                </c:pt>
              </c:numCache>
            </c:numRef>
          </c:val>
          <c:extLst>
            <c:ext xmlns:c16="http://schemas.microsoft.com/office/drawing/2014/chart" uri="{C3380CC4-5D6E-409C-BE32-E72D297353CC}">
              <c16:uniqueId val="{00000000-BA3E-4322-B775-4BAC05AFE243}"/>
            </c:ext>
          </c:extLst>
        </c:ser>
        <c:ser>
          <c:idx val="1"/>
          <c:order val="1"/>
          <c:tx>
            <c:strRef>
              <c:f>'calcoli Cliente'!$D$26</c:f>
              <c:strCache>
                <c:ptCount val="1"/>
                <c:pt idx="0">
                  <c:v>Lacune</c:v>
                </c:pt>
              </c:strCache>
            </c:strRef>
          </c:tx>
          <c:spPr>
            <a:solidFill>
              <a:srgbClr val="FF0000"/>
            </a:solidFill>
          </c:spPr>
          <c:invertIfNegative val="0"/>
          <c:cat>
            <c:strRef>
              <c:f>'calcoli Cliente'!$A$27:$A$30</c:f>
              <c:strCache>
                <c:ptCount val="4"/>
                <c:pt idx="0">
                  <c:v>Fabbisogno mensile</c:v>
                </c:pt>
                <c:pt idx="1">
                  <c:v>Malattia: I.G. - 720 gg.</c:v>
                </c:pt>
                <c:pt idx="2">
                  <c:v>Inv. con suppl. x figli &lt; 18/25 anni</c:v>
                </c:pt>
                <c:pt idx="3">
                  <c:v>Inv. (senza Figli)</c:v>
                </c:pt>
              </c:strCache>
            </c:strRef>
          </c:cat>
          <c:val>
            <c:numRef>
              <c:f>'calcoli Cliente'!$D$27:$D$30</c:f>
              <c:numCache>
                <c:formatCode>_-* #,##0.00" CHF"_-;\-* #,##0.00" CHF"_-;_-* \-??" CHF"_-;_-@_-</c:formatCode>
                <c:ptCount val="4"/>
                <c:pt idx="0">
                  <c:v>0</c:v>
                </c:pt>
                <c:pt idx="1">
                  <c:v>0</c:v>
                </c:pt>
                <c:pt idx="2">
                  <c:v>0</c:v>
                </c:pt>
                <c:pt idx="3">
                  <c:v>0</c:v>
                </c:pt>
              </c:numCache>
            </c:numRef>
          </c:val>
          <c:extLst>
            <c:ext xmlns:c16="http://schemas.microsoft.com/office/drawing/2014/chart" uri="{C3380CC4-5D6E-409C-BE32-E72D297353CC}">
              <c16:uniqueId val="{00000008-E594-4557-8DE2-BC2BD471E257}"/>
            </c:ext>
          </c:extLst>
        </c:ser>
        <c:dLbls>
          <c:showLegendKey val="0"/>
          <c:showVal val="0"/>
          <c:showCatName val="0"/>
          <c:showSerName val="0"/>
          <c:showPercent val="0"/>
          <c:showBubbleSize val="0"/>
        </c:dLbls>
        <c:gapWidth val="100"/>
        <c:overlap val="100"/>
        <c:axId val="1266010111"/>
        <c:axId val="1"/>
      </c:barChart>
      <c:catAx>
        <c:axId val="126601011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6010111"/>
        <c:crossesAt val="1"/>
        <c:crossBetween val="between"/>
      </c:valAx>
      <c:spPr>
        <a:noFill/>
        <a:ln w="3175">
          <a:solidFill>
            <a:srgbClr val="B3B3B3"/>
          </a:solidFill>
          <a:prstDash val="solid"/>
        </a:ln>
      </c:spPr>
    </c:plotArea>
    <c:legend>
      <c:legendPos val="b"/>
      <c:layout>
        <c:manualLayout>
          <c:xMode val="edge"/>
          <c:yMode val="edge"/>
          <c:x val="0.34714919481009349"/>
          <c:y val="0.16855305645570093"/>
          <c:w val="0.32798780695539004"/>
          <c:h val="6.397770330435592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VECCHIAIA / ALTER / RETRAITE</a:t>
            </a:r>
            <a:endParaRPr lang="it-CH"/>
          </a:p>
        </c:rich>
      </c:tx>
      <c:layout>
        <c:manualLayout>
          <c:xMode val="edge"/>
          <c:yMode val="edge"/>
          <c:x val="0.32625192535864522"/>
          <c:y val="4.8479048549305077E-2"/>
        </c:manualLayout>
      </c:layout>
      <c:overlay val="0"/>
      <c:spPr>
        <a:noFill/>
        <a:ln w="25400">
          <a:noFill/>
        </a:ln>
      </c:spPr>
    </c:title>
    <c:autoTitleDeleted val="0"/>
    <c:plotArea>
      <c:layout>
        <c:manualLayout>
          <c:layoutTarget val="inner"/>
          <c:xMode val="edge"/>
          <c:yMode val="edge"/>
          <c:x val="0.15172888541967613"/>
          <c:y val="0.24839482390022055"/>
          <c:w val="0.78967988093422348"/>
          <c:h val="0.5484041566628246"/>
        </c:manualLayout>
      </c:layout>
      <c:barChart>
        <c:barDir val="col"/>
        <c:grouping val="percentStacked"/>
        <c:varyColors val="0"/>
        <c:ser>
          <c:idx val="0"/>
          <c:order val="0"/>
          <c:tx>
            <c:strRef>
              <c:f>'calcoli Cliente'!$B$47</c:f>
              <c:strCache>
                <c:ptCount val="1"/>
                <c:pt idx="0">
                  <c:v>Redditi / Rendite 1. e 2. pilastro</c:v>
                </c:pt>
              </c:strCache>
            </c:strRef>
          </c:tx>
          <c:spPr>
            <a:solidFill>
              <a:srgbClr val="004586"/>
            </a:solidFill>
            <a:ln w="25400">
              <a:noFill/>
            </a:ln>
          </c:spPr>
          <c:invertIfNegative val="0"/>
          <c:cat>
            <c:strRef>
              <c:f>'calcoli Cliente'!$A$48:$A$50</c:f>
              <c:strCache>
                <c:ptCount val="3"/>
                <c:pt idx="0">
                  <c:v>Fabbisogno</c:v>
                </c:pt>
                <c:pt idx="1">
                  <c:v>AVS + LPP:</c:v>
                </c:pt>
                <c:pt idx="2">
                  <c:v>Con splitting:</c:v>
                </c:pt>
              </c:strCache>
            </c:strRef>
          </c:cat>
          <c:val>
            <c:numRef>
              <c:f>'calcoli Cliente'!$B$48:$B$50</c:f>
              <c:numCache>
                <c:formatCode>_-* #,##0.00" CHF"_-;\-* #,##0.00" CHF"_-;_-* \-??" CHF"_-;_-@_-</c:formatCode>
                <c:ptCount val="3"/>
                <c:pt idx="0">
                  <c:v>0</c:v>
                </c:pt>
                <c:pt idx="1">
                  <c:v>15120</c:v>
                </c:pt>
                <c:pt idx="2">
                  <c:v>15120</c:v>
                </c:pt>
              </c:numCache>
            </c:numRef>
          </c:val>
          <c:extLst>
            <c:ext xmlns:c16="http://schemas.microsoft.com/office/drawing/2014/chart" uri="{C3380CC4-5D6E-409C-BE32-E72D297353CC}">
              <c16:uniqueId val="{00000000-D4BC-4EF4-982E-9C5D8E874DEB}"/>
            </c:ext>
          </c:extLst>
        </c:ser>
        <c:ser>
          <c:idx val="1"/>
          <c:order val="1"/>
          <c:tx>
            <c:strRef>
              <c:f>'calcoli Cliente'!$D$47</c:f>
              <c:strCache>
                <c:ptCount val="1"/>
                <c:pt idx="0">
                  <c:v>Lacune</c:v>
                </c:pt>
              </c:strCache>
            </c:strRef>
          </c:tx>
          <c:spPr>
            <a:solidFill>
              <a:srgbClr val="FF0000"/>
            </a:solidFill>
          </c:spPr>
          <c:invertIfNegative val="0"/>
          <c:cat>
            <c:strRef>
              <c:f>'calcoli Cliente'!$A$48:$A$50</c:f>
              <c:strCache>
                <c:ptCount val="3"/>
                <c:pt idx="0">
                  <c:v>Fabbisogno</c:v>
                </c:pt>
                <c:pt idx="1">
                  <c:v>AVS + LPP:</c:v>
                </c:pt>
                <c:pt idx="2">
                  <c:v>Con splitting:</c:v>
                </c:pt>
              </c:strCache>
            </c:strRef>
          </c:cat>
          <c:val>
            <c:numRef>
              <c:f>'calcoli Cliente'!$D$48:$D$50</c:f>
              <c:numCache>
                <c:formatCode>_-* #,##0.00" CHF"_-;\-* #,##0.00" CHF"_-;_-* \-??" CHF"_-;_-@_-</c:formatCode>
                <c:ptCount val="3"/>
                <c:pt idx="0" formatCode="General">
                  <c:v>0</c:v>
                </c:pt>
                <c:pt idx="1">
                  <c:v>-15120</c:v>
                </c:pt>
                <c:pt idx="2">
                  <c:v>-15120</c:v>
                </c:pt>
              </c:numCache>
            </c:numRef>
          </c:val>
          <c:extLst>
            <c:ext xmlns:c16="http://schemas.microsoft.com/office/drawing/2014/chart" uri="{C3380CC4-5D6E-409C-BE32-E72D297353CC}">
              <c16:uniqueId val="{00000000-8C8B-450E-9EB1-DD91D609894E}"/>
            </c:ext>
          </c:extLst>
        </c:ser>
        <c:dLbls>
          <c:showLegendKey val="0"/>
          <c:showVal val="0"/>
          <c:showCatName val="0"/>
          <c:showSerName val="0"/>
          <c:showPercent val="0"/>
          <c:showBubbleSize val="0"/>
        </c:dLbls>
        <c:gapWidth val="100"/>
        <c:overlap val="100"/>
        <c:axId val="1266008191"/>
        <c:axId val="1"/>
      </c:barChart>
      <c:catAx>
        <c:axId val="126600819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6008191"/>
        <c:crossesAt val="1"/>
        <c:crossBetween val="between"/>
      </c:valAx>
      <c:spPr>
        <a:noFill/>
        <a:ln w="3175">
          <a:solidFill>
            <a:srgbClr val="B3B3B3"/>
          </a:solidFill>
          <a:prstDash val="solid"/>
        </a:ln>
      </c:spPr>
    </c:plotArea>
    <c:legend>
      <c:legendPos val="b"/>
      <c:layout>
        <c:manualLayout>
          <c:xMode val="edge"/>
          <c:yMode val="edge"/>
          <c:x val="0.35386870887714378"/>
          <c:y val="0.1357591388050661"/>
          <c:w val="0.33015214753423178"/>
          <c:h val="5.718115480121286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INFORTUNIO / UNFALL / ACCIDENT</a:t>
            </a:r>
            <a:endParaRPr lang="it-CH"/>
          </a:p>
        </c:rich>
      </c:tx>
      <c:layout>
        <c:manualLayout>
          <c:xMode val="edge"/>
          <c:yMode val="edge"/>
          <c:x val="0.31107811888257236"/>
          <c:y val="7.0506129771753231E-2"/>
        </c:manualLayout>
      </c:layout>
      <c:overlay val="0"/>
      <c:spPr>
        <a:noFill/>
        <a:ln w="25400">
          <a:noFill/>
        </a:ln>
      </c:spPr>
    </c:title>
    <c:autoTitleDeleted val="0"/>
    <c:plotArea>
      <c:layout>
        <c:manualLayout>
          <c:layoutTarget val="inner"/>
          <c:xMode val="edge"/>
          <c:yMode val="edge"/>
          <c:x val="0.23288436297253065"/>
          <c:y val="0.2751958536828466"/>
          <c:w val="0.63187007306517506"/>
          <c:h val="0.52626333100767464"/>
        </c:manualLayout>
      </c:layout>
      <c:barChart>
        <c:barDir val="col"/>
        <c:grouping val="percentStacked"/>
        <c:varyColors val="0"/>
        <c:ser>
          <c:idx val="0"/>
          <c:order val="0"/>
          <c:tx>
            <c:strRef>
              <c:f>'Calcoli Partner'!$B$26</c:f>
              <c:strCache>
                <c:ptCount val="1"/>
                <c:pt idx="0">
                  <c:v>Redditi / Rendite 1. e 2. pilastro</c:v>
                </c:pt>
              </c:strCache>
            </c:strRef>
          </c:tx>
          <c:spPr>
            <a:solidFill>
              <a:srgbClr val="004586"/>
            </a:solidFill>
            <a:ln w="25400">
              <a:noFill/>
            </a:ln>
          </c:spPr>
          <c:invertIfNegative val="0"/>
          <c:cat>
            <c:strRef>
              <c:f>'Calcoli Partner'!$A$27:$A$30</c:f>
              <c:strCache>
                <c:ptCount val="4"/>
                <c:pt idx="0">
                  <c:v>Fabbisogno</c:v>
                </c:pt>
                <c:pt idx="1">
                  <c:v>Malattia: I.G. - 720 gg.</c:v>
                </c:pt>
                <c:pt idx="2">
                  <c:v>Inv. con suppl. x figli &lt; 18/25 anni</c:v>
                </c:pt>
                <c:pt idx="3">
                  <c:v>Inv. (senza Figli)</c:v>
                </c:pt>
              </c:strCache>
            </c:strRef>
          </c:cat>
          <c:val>
            <c:numRef>
              <c:f>'Calcoli Partner'!$B$27:$B$30</c:f>
              <c:numCache>
                <c:formatCode>_-* #,##0.00" CHF"_-;\-* #,##0.00" CHF"_-;_-* \-??" CHF"_-;_-@_-</c:formatCode>
                <c:ptCount val="4"/>
                <c:pt idx="0">
                  <c:v>0</c:v>
                </c:pt>
                <c:pt idx="1">
                  <c:v>0</c:v>
                </c:pt>
                <c:pt idx="2">
                  <c:v>0</c:v>
                </c:pt>
                <c:pt idx="3">
                  <c:v>0</c:v>
                </c:pt>
              </c:numCache>
            </c:numRef>
          </c:val>
          <c:extLst>
            <c:ext xmlns:c16="http://schemas.microsoft.com/office/drawing/2014/chart" uri="{C3380CC4-5D6E-409C-BE32-E72D297353CC}">
              <c16:uniqueId val="{00000000-8350-402E-8449-1697B12FD63A}"/>
            </c:ext>
          </c:extLst>
        </c:ser>
        <c:ser>
          <c:idx val="1"/>
          <c:order val="1"/>
          <c:tx>
            <c:strRef>
              <c:f>'Calcoli Partner'!$D$26</c:f>
              <c:strCache>
                <c:ptCount val="1"/>
                <c:pt idx="0">
                  <c:v>Lacune</c:v>
                </c:pt>
              </c:strCache>
            </c:strRef>
          </c:tx>
          <c:spPr>
            <a:solidFill>
              <a:srgbClr val="FF0000"/>
            </a:solidFill>
          </c:spPr>
          <c:invertIfNegative val="0"/>
          <c:cat>
            <c:strRef>
              <c:f>'Calcoli Partner'!$A$27:$A$30</c:f>
              <c:strCache>
                <c:ptCount val="4"/>
                <c:pt idx="0">
                  <c:v>Fabbisogno</c:v>
                </c:pt>
                <c:pt idx="1">
                  <c:v>Malattia: I.G. - 720 gg.</c:v>
                </c:pt>
                <c:pt idx="2">
                  <c:v>Inv. con suppl. x figli &lt; 18/25 anni</c:v>
                </c:pt>
                <c:pt idx="3">
                  <c:v>Inv. (senza Figli)</c:v>
                </c:pt>
              </c:strCache>
            </c:strRef>
          </c:cat>
          <c:val>
            <c:numRef>
              <c:f>'Calcoli Partner'!$D$27:$D$30</c:f>
              <c:numCache>
                <c:formatCode>_-* #,##0.00" CHF"_-;\-* #,##0.00" CHF"_-;_-* \-??" CHF"_-;_-@_-</c:formatCode>
                <c:ptCount val="4"/>
                <c:pt idx="0">
                  <c:v>0</c:v>
                </c:pt>
                <c:pt idx="1">
                  <c:v>0</c:v>
                </c:pt>
                <c:pt idx="2">
                  <c:v>0</c:v>
                </c:pt>
                <c:pt idx="3">
                  <c:v>0</c:v>
                </c:pt>
              </c:numCache>
            </c:numRef>
          </c:val>
          <c:extLst>
            <c:ext xmlns:c16="http://schemas.microsoft.com/office/drawing/2014/chart" uri="{C3380CC4-5D6E-409C-BE32-E72D297353CC}">
              <c16:uniqueId val="{00000000-2961-4113-BDDC-5868739F043A}"/>
            </c:ext>
          </c:extLst>
        </c:ser>
        <c:dLbls>
          <c:showLegendKey val="0"/>
          <c:showVal val="0"/>
          <c:showCatName val="0"/>
          <c:showSerName val="0"/>
          <c:showPercent val="0"/>
          <c:showBubbleSize val="0"/>
        </c:dLbls>
        <c:gapWidth val="100"/>
        <c:overlap val="100"/>
        <c:axId val="1265989471"/>
        <c:axId val="1"/>
      </c:barChart>
      <c:catAx>
        <c:axId val="126598947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5989471"/>
        <c:crossesAt val="1"/>
        <c:crossBetween val="between"/>
      </c:valAx>
      <c:spPr>
        <a:noFill/>
        <a:ln w="3175">
          <a:solidFill>
            <a:srgbClr val="B3B3B3"/>
          </a:solidFill>
          <a:prstDash val="solid"/>
        </a:ln>
      </c:spPr>
    </c:plotArea>
    <c:legend>
      <c:legendPos val="b"/>
      <c:layout>
        <c:manualLayout>
          <c:xMode val="edge"/>
          <c:yMode val="edge"/>
          <c:x val="0.36478353721153112"/>
          <c:y val="0.16126502541612681"/>
          <c:w val="0.32736190418945726"/>
          <c:h val="6.68562817480514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MALATTIA / KRANKHEIT / MALADIE</a:t>
            </a:r>
            <a:endParaRPr lang="it-CH"/>
          </a:p>
        </c:rich>
      </c:tx>
      <c:layout>
        <c:manualLayout>
          <c:xMode val="edge"/>
          <c:yMode val="edge"/>
          <c:x val="0.30936565857493703"/>
          <c:y val="5.3877951076495532E-2"/>
        </c:manualLayout>
      </c:layout>
      <c:overlay val="0"/>
      <c:spPr>
        <a:noFill/>
        <a:ln w="25400">
          <a:noFill/>
        </a:ln>
      </c:spPr>
    </c:title>
    <c:autoTitleDeleted val="0"/>
    <c:plotArea>
      <c:layout>
        <c:manualLayout>
          <c:layoutTarget val="inner"/>
          <c:xMode val="edge"/>
          <c:yMode val="edge"/>
          <c:x val="0.14212795681411797"/>
          <c:y val="0.29045032273729154"/>
          <c:w val="0.78427234001043411"/>
          <c:h val="0.49633915910802989"/>
        </c:manualLayout>
      </c:layout>
      <c:barChart>
        <c:barDir val="col"/>
        <c:grouping val="percentStacked"/>
        <c:varyColors val="0"/>
        <c:ser>
          <c:idx val="0"/>
          <c:order val="0"/>
          <c:tx>
            <c:strRef>
              <c:f>'Calcoli Partner'!$B$26</c:f>
              <c:strCache>
                <c:ptCount val="1"/>
                <c:pt idx="0">
                  <c:v>Redditi / Rendite 1. e 2. pilastro</c:v>
                </c:pt>
              </c:strCache>
            </c:strRef>
          </c:tx>
          <c:spPr>
            <a:solidFill>
              <a:srgbClr val="004586"/>
            </a:solidFill>
            <a:ln w="25400">
              <a:noFill/>
            </a:ln>
          </c:spPr>
          <c:invertIfNegative val="0"/>
          <c:cat>
            <c:strRef>
              <c:f>'Calcoli Partner'!$A$27:$A$30</c:f>
              <c:strCache>
                <c:ptCount val="4"/>
                <c:pt idx="0">
                  <c:v>Fabbisogno</c:v>
                </c:pt>
                <c:pt idx="1">
                  <c:v>Malattia: I.G. - 720 gg.</c:v>
                </c:pt>
                <c:pt idx="2">
                  <c:v>Inv. con suppl. x figli &lt; 18/25 anni</c:v>
                </c:pt>
                <c:pt idx="3">
                  <c:v>Inv. (senza Figli)</c:v>
                </c:pt>
              </c:strCache>
            </c:strRef>
          </c:cat>
          <c:val>
            <c:numRef>
              <c:f>'Calcoli Partner'!$B$27:$B$30</c:f>
              <c:numCache>
                <c:formatCode>_-* #,##0.00" CHF"_-;\-* #,##0.00" CHF"_-;_-* \-??" CHF"_-;_-@_-</c:formatCode>
                <c:ptCount val="4"/>
                <c:pt idx="0">
                  <c:v>0</c:v>
                </c:pt>
                <c:pt idx="1">
                  <c:v>0</c:v>
                </c:pt>
                <c:pt idx="2">
                  <c:v>0</c:v>
                </c:pt>
                <c:pt idx="3">
                  <c:v>0</c:v>
                </c:pt>
              </c:numCache>
            </c:numRef>
          </c:val>
          <c:extLst>
            <c:ext xmlns:c16="http://schemas.microsoft.com/office/drawing/2014/chart" uri="{C3380CC4-5D6E-409C-BE32-E72D297353CC}">
              <c16:uniqueId val="{00000000-BF1E-40F9-B9B1-D89B21040F59}"/>
            </c:ext>
          </c:extLst>
        </c:ser>
        <c:ser>
          <c:idx val="1"/>
          <c:order val="1"/>
          <c:tx>
            <c:strRef>
              <c:f>'Calcoli Partner'!$D$26</c:f>
              <c:strCache>
                <c:ptCount val="1"/>
                <c:pt idx="0">
                  <c:v>Lacune</c:v>
                </c:pt>
              </c:strCache>
            </c:strRef>
          </c:tx>
          <c:spPr>
            <a:solidFill>
              <a:srgbClr val="FF0000"/>
            </a:solidFill>
          </c:spPr>
          <c:invertIfNegative val="0"/>
          <c:cat>
            <c:strRef>
              <c:f>'Calcoli Partner'!$A$27:$A$30</c:f>
              <c:strCache>
                <c:ptCount val="4"/>
                <c:pt idx="0">
                  <c:v>Fabbisogno</c:v>
                </c:pt>
                <c:pt idx="1">
                  <c:v>Malattia: I.G. - 720 gg.</c:v>
                </c:pt>
                <c:pt idx="2">
                  <c:v>Inv. con suppl. x figli &lt; 18/25 anni</c:v>
                </c:pt>
                <c:pt idx="3">
                  <c:v>Inv. (senza Figli)</c:v>
                </c:pt>
              </c:strCache>
            </c:strRef>
          </c:cat>
          <c:val>
            <c:numRef>
              <c:f>'Calcoli Partner'!$D$27:$D$30</c:f>
              <c:numCache>
                <c:formatCode>_-* #,##0.00" CHF"_-;\-* #,##0.00" CHF"_-;_-* \-??" CHF"_-;_-@_-</c:formatCode>
                <c:ptCount val="4"/>
                <c:pt idx="0">
                  <c:v>0</c:v>
                </c:pt>
                <c:pt idx="1">
                  <c:v>0</c:v>
                </c:pt>
                <c:pt idx="2">
                  <c:v>0</c:v>
                </c:pt>
                <c:pt idx="3">
                  <c:v>0</c:v>
                </c:pt>
              </c:numCache>
            </c:numRef>
          </c:val>
          <c:extLst>
            <c:ext xmlns:c16="http://schemas.microsoft.com/office/drawing/2014/chart" uri="{C3380CC4-5D6E-409C-BE32-E72D297353CC}">
              <c16:uniqueId val="{00000000-D047-429A-AE75-7449D7F6589E}"/>
            </c:ext>
          </c:extLst>
        </c:ser>
        <c:dLbls>
          <c:showLegendKey val="0"/>
          <c:showVal val="0"/>
          <c:showCatName val="0"/>
          <c:showSerName val="0"/>
          <c:showPercent val="0"/>
          <c:showBubbleSize val="0"/>
        </c:dLbls>
        <c:gapWidth val="100"/>
        <c:overlap val="100"/>
        <c:axId val="1265991391"/>
        <c:axId val="1"/>
      </c:barChart>
      <c:catAx>
        <c:axId val="126599139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5991391"/>
        <c:crossesAt val="1"/>
        <c:crossBetween val="between"/>
      </c:valAx>
      <c:spPr>
        <a:noFill/>
        <a:ln w="3175">
          <a:solidFill>
            <a:srgbClr val="B3B3B3"/>
          </a:solidFill>
          <a:prstDash val="solid"/>
        </a:ln>
      </c:spPr>
    </c:plotArea>
    <c:legend>
      <c:legendPos val="b"/>
      <c:layout>
        <c:manualLayout>
          <c:xMode val="edge"/>
          <c:yMode val="edge"/>
          <c:x val="0.36466239172622256"/>
          <c:y val="0.15101206200109313"/>
          <c:w val="0.326560609658198"/>
          <c:h val="6.5163207611037749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Cliente'!$K$37</c:f>
              <c:strCache>
                <c:ptCount val="1"/>
                <c:pt idx="0">
                  <c:v>Redditi / Rendite 1. e 2. pilastro</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01E6-428D-9966-18CAF19CB32B}"/>
              </c:ext>
            </c:extLst>
          </c:dPt>
          <c:dPt>
            <c:idx val="1"/>
            <c:invertIfNegative val="0"/>
            <c:bubble3D val="0"/>
            <c:spPr>
              <a:solidFill>
                <a:srgbClr val="63DCDB"/>
              </a:solidFill>
              <a:ln>
                <a:noFill/>
              </a:ln>
              <a:effectLst/>
            </c:spPr>
            <c:extLst>
              <c:ext xmlns:c16="http://schemas.microsoft.com/office/drawing/2014/chart" uri="{C3380CC4-5D6E-409C-BE32-E72D297353CC}">
                <c16:uniqueId val="{00000003-01E6-428D-9966-18CAF19CB32B}"/>
              </c:ext>
            </c:extLst>
          </c:dPt>
          <c:dPt>
            <c:idx val="2"/>
            <c:invertIfNegative val="0"/>
            <c:bubble3D val="0"/>
            <c:spPr>
              <a:solidFill>
                <a:srgbClr val="4B77C5"/>
              </a:solidFill>
              <a:ln>
                <a:noFill/>
              </a:ln>
              <a:effectLst/>
            </c:spPr>
            <c:extLst>
              <c:ext xmlns:c16="http://schemas.microsoft.com/office/drawing/2014/chart" uri="{C3380CC4-5D6E-409C-BE32-E72D297353CC}">
                <c16:uniqueId val="{00000005-01E6-428D-9966-18CAF19CB32B}"/>
              </c:ext>
            </c:extLst>
          </c:dPt>
          <c:dPt>
            <c:idx val="3"/>
            <c:invertIfNegative val="0"/>
            <c:bubble3D val="0"/>
            <c:spPr>
              <a:solidFill>
                <a:srgbClr val="4B77C5"/>
              </a:solidFill>
              <a:ln>
                <a:noFill/>
              </a:ln>
              <a:effectLst/>
            </c:spPr>
            <c:extLst>
              <c:ext xmlns:c16="http://schemas.microsoft.com/office/drawing/2014/chart" uri="{C3380CC4-5D6E-409C-BE32-E72D297353CC}">
                <c16:uniqueId val="{00000007-01E6-428D-9966-18CAF19CB32B}"/>
              </c:ext>
            </c:extLst>
          </c:dPt>
          <c:dLbls>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50000"/>
                        </a:schemeClr>
                      </a:solidFill>
                      <a:latin typeface="+mn-lt"/>
                      <a:ea typeface="+mn-ea"/>
                      <a:cs typeface="+mn-cs"/>
                    </a:defRPr>
                  </a:pPr>
                  <a:endParaRPr lang="it-CH"/>
                </a:p>
              </c:txPr>
              <c:dLblPos val="ctr"/>
              <c:showLegendKey val="0"/>
              <c:showVal val="1"/>
              <c:showCatName val="0"/>
              <c:showSerName val="0"/>
              <c:showPercent val="0"/>
              <c:showBubbleSize val="0"/>
              <c:extLst>
                <c:ext xmlns:c16="http://schemas.microsoft.com/office/drawing/2014/chart" uri="{C3380CC4-5D6E-409C-BE32-E72D297353CC}">
                  <c16:uniqueId val="{00000003-01E6-428D-9966-18CAF19CB32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Cliente'!$J$38:$J$40</c:f>
              <c:strCache>
                <c:ptCount val="3"/>
                <c:pt idx="0">
                  <c:v>Fabbisogno mensile</c:v>
                </c:pt>
                <c:pt idx="1">
                  <c:v>i.g. Inortunio</c:v>
                </c:pt>
                <c:pt idx="2">
                  <c:v>Inv. Infortunio</c:v>
                </c:pt>
              </c:strCache>
            </c:strRef>
          </c:cat>
          <c:val>
            <c:numRef>
              <c:f>'calcoli Cliente'!$K$38:$K$40</c:f>
              <c:numCache>
                <c:formatCode>#,##0</c:formatCode>
                <c:ptCount val="3"/>
                <c:pt idx="0">
                  <c:v>0</c:v>
                </c:pt>
                <c:pt idx="1">
                  <c:v>0</c:v>
                </c:pt>
                <c:pt idx="2">
                  <c:v>0</c:v>
                </c:pt>
              </c:numCache>
            </c:numRef>
          </c:val>
          <c:extLst>
            <c:ext xmlns:c16="http://schemas.microsoft.com/office/drawing/2014/chart" uri="{C3380CC4-5D6E-409C-BE32-E72D297353CC}">
              <c16:uniqueId val="{00000008-01E6-428D-9966-18CAF19CB32B}"/>
            </c:ext>
          </c:extLst>
        </c:ser>
        <c:ser>
          <c:idx val="2"/>
          <c:order val="2"/>
          <c:tx>
            <c:strRef>
              <c:f>'calcoli Cliente'!$M$37</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Cliente'!$J$38:$J$40</c:f>
              <c:strCache>
                <c:ptCount val="3"/>
                <c:pt idx="0">
                  <c:v>Fabbisogno mensile</c:v>
                </c:pt>
                <c:pt idx="1">
                  <c:v>i.g. Inortunio</c:v>
                </c:pt>
                <c:pt idx="2">
                  <c:v>Inv. Infortunio</c:v>
                </c:pt>
              </c:strCache>
            </c:strRef>
          </c:cat>
          <c:val>
            <c:numRef>
              <c:f>'calcoli Cliente'!$M$38:$M$40</c:f>
              <c:numCache>
                <c:formatCode>#,##0</c:formatCode>
                <c:ptCount val="3"/>
                <c:pt idx="1">
                  <c:v>0</c:v>
                </c:pt>
                <c:pt idx="2">
                  <c:v>0</c:v>
                </c:pt>
              </c:numCache>
            </c:numRef>
          </c:val>
          <c:extLst>
            <c:ext xmlns:c16="http://schemas.microsoft.com/office/drawing/2014/chart" uri="{C3380CC4-5D6E-409C-BE32-E72D297353CC}">
              <c16:uniqueId val="{0000000A-01E6-428D-9966-18CAF19CB32B}"/>
            </c:ext>
          </c:extLst>
        </c:ser>
        <c:dLbls>
          <c:showLegendKey val="0"/>
          <c:showVal val="0"/>
          <c:showCatName val="0"/>
          <c:showSerName val="0"/>
          <c:showPercent val="0"/>
          <c:showBubbleSize val="0"/>
        </c:dLbls>
        <c:gapWidth val="100"/>
        <c:overlap val="100"/>
        <c:axId val="1831527327"/>
        <c:axId val="1831523007"/>
        <c:extLst>
          <c:ext xmlns:c15="http://schemas.microsoft.com/office/drawing/2012/chart" uri="{02D57815-91ED-43cb-92C2-25804820EDAC}">
            <c15:filteredBarSeries>
              <c15:ser>
                <c:idx val="1"/>
                <c:order val="1"/>
                <c:tx>
                  <c:strRef>
                    <c:extLst>
                      <c:ext uri="{02D57815-91ED-43cb-92C2-25804820EDAC}">
                        <c15:formulaRef>
                          <c15:sqref>'calcoli Cliente'!$L$37</c15:sqref>
                        </c15:formulaRef>
                      </c:ext>
                    </c:extLst>
                    <c:strCache>
                      <c:ptCount val="1"/>
                      <c:pt idx="0">
                        <c:v>3. pilastro</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'calcoli Cliente'!$J$38:$J$40</c15:sqref>
                        </c15:formulaRef>
                      </c:ext>
                    </c:extLst>
                    <c:strCache>
                      <c:ptCount val="3"/>
                      <c:pt idx="0">
                        <c:v>Fabbisogno mensile</c:v>
                      </c:pt>
                      <c:pt idx="1">
                        <c:v>i.g. Inortunio</c:v>
                      </c:pt>
                      <c:pt idx="2">
                        <c:v>Inv. Infortunio</c:v>
                      </c:pt>
                    </c:strCache>
                  </c:strRef>
                </c:cat>
                <c:val>
                  <c:numRef>
                    <c:extLst>
                      <c:ext uri="{02D57815-91ED-43cb-92C2-25804820EDAC}">
                        <c15:formulaRef>
                          <c15:sqref>'calcoli Cliente'!$L$38:$L$40</c15:sqref>
                        </c15:formulaRef>
                      </c:ext>
                    </c:extLst>
                    <c:numCache>
                      <c:formatCode>#,##0</c:formatCode>
                      <c:ptCount val="3"/>
                    </c:numCache>
                  </c:numRef>
                </c:val>
                <c:extLst>
                  <c:ext xmlns:c16="http://schemas.microsoft.com/office/drawing/2014/chart" uri="{C3380CC4-5D6E-409C-BE32-E72D297353CC}">
                    <c16:uniqueId val="{00000009-01E6-428D-9966-18CAF19CB32B}"/>
                  </c:ext>
                </c:extLst>
              </c15:ser>
            </c15:filteredBarSeries>
          </c:ext>
        </c:extLst>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VECCHIAIA / ALTER / RETRAITE</a:t>
            </a:r>
            <a:endParaRPr lang="it-CH"/>
          </a:p>
        </c:rich>
      </c:tx>
      <c:layout>
        <c:manualLayout>
          <c:xMode val="edge"/>
          <c:yMode val="edge"/>
          <c:x val="0.31552719703140558"/>
          <c:y val="5.9703461595602435E-2"/>
        </c:manualLayout>
      </c:layout>
      <c:overlay val="0"/>
      <c:spPr>
        <a:noFill/>
        <a:ln w="25400">
          <a:noFill/>
        </a:ln>
      </c:spPr>
    </c:title>
    <c:autoTitleDeleted val="0"/>
    <c:plotArea>
      <c:layout>
        <c:manualLayout>
          <c:layoutTarget val="inner"/>
          <c:xMode val="edge"/>
          <c:yMode val="edge"/>
          <c:x val="0.12069343158383329"/>
          <c:y val="0.30598041616744964"/>
          <c:w val="0.78450730529491641"/>
          <c:h val="0.49255384065979702"/>
        </c:manualLayout>
      </c:layout>
      <c:barChart>
        <c:barDir val="col"/>
        <c:grouping val="percentStacked"/>
        <c:varyColors val="0"/>
        <c:ser>
          <c:idx val="0"/>
          <c:order val="0"/>
          <c:tx>
            <c:strRef>
              <c:f>'Calcoli Partner'!$B$47</c:f>
              <c:strCache>
                <c:ptCount val="1"/>
                <c:pt idx="0">
                  <c:v> Redditi / Rendite 1. e 2. pilastro </c:v>
                </c:pt>
              </c:strCache>
            </c:strRef>
          </c:tx>
          <c:spPr>
            <a:solidFill>
              <a:srgbClr val="004586"/>
            </a:solidFill>
            <a:ln w="25400">
              <a:noFill/>
            </a:ln>
          </c:spPr>
          <c:invertIfNegative val="0"/>
          <c:cat>
            <c:strRef>
              <c:f>'Calcoli Partner'!$A$48:$A$50</c:f>
              <c:strCache>
                <c:ptCount val="3"/>
                <c:pt idx="0">
                  <c:v>Fabbisogno</c:v>
                </c:pt>
                <c:pt idx="1">
                  <c:v>AVS + LPP:</c:v>
                </c:pt>
                <c:pt idx="2">
                  <c:v>Con splitting:</c:v>
                </c:pt>
              </c:strCache>
            </c:strRef>
          </c:cat>
          <c:val>
            <c:numRef>
              <c:f>'Calcoli Partner'!$B$48:$B$50</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28A8-4D66-A47C-86B37E5E0DB5}"/>
            </c:ext>
          </c:extLst>
        </c:ser>
        <c:ser>
          <c:idx val="1"/>
          <c:order val="1"/>
          <c:tx>
            <c:strRef>
              <c:f>'Calcoli Partner'!$D$47</c:f>
              <c:strCache>
                <c:ptCount val="1"/>
                <c:pt idx="0">
                  <c:v> Lacune </c:v>
                </c:pt>
              </c:strCache>
            </c:strRef>
          </c:tx>
          <c:spPr>
            <a:solidFill>
              <a:srgbClr val="FF0000"/>
            </a:solidFill>
          </c:spPr>
          <c:invertIfNegative val="0"/>
          <c:cat>
            <c:strRef>
              <c:f>'Calcoli Partner'!$A$48:$A$50</c:f>
              <c:strCache>
                <c:ptCount val="3"/>
                <c:pt idx="0">
                  <c:v>Fabbisogno</c:v>
                </c:pt>
                <c:pt idx="1">
                  <c:v>AVS + LPP:</c:v>
                </c:pt>
                <c:pt idx="2">
                  <c:v>Con splitting:</c:v>
                </c:pt>
              </c:strCache>
            </c:strRef>
          </c:cat>
          <c:val>
            <c:numRef>
              <c:f>'Calcoli Partner'!$D$48:$D$50</c:f>
              <c:numCache>
                <c:formatCode>_-* #,##0.00" CHF"_-;\-* #,##0.00" CHF"_-;_-* \-??" CHF"_-;_-@_-</c:formatCode>
                <c:ptCount val="3"/>
                <c:pt idx="1">
                  <c:v>0</c:v>
                </c:pt>
                <c:pt idx="2">
                  <c:v>0</c:v>
                </c:pt>
              </c:numCache>
            </c:numRef>
          </c:val>
          <c:extLst>
            <c:ext xmlns:c16="http://schemas.microsoft.com/office/drawing/2014/chart" uri="{C3380CC4-5D6E-409C-BE32-E72D297353CC}">
              <c16:uniqueId val="{00000000-3597-469D-B082-C5AA652BE755}"/>
            </c:ext>
          </c:extLst>
        </c:ser>
        <c:dLbls>
          <c:showLegendKey val="0"/>
          <c:showVal val="0"/>
          <c:showCatName val="0"/>
          <c:showSerName val="0"/>
          <c:showPercent val="0"/>
          <c:showBubbleSize val="0"/>
        </c:dLbls>
        <c:gapWidth val="100"/>
        <c:overlap val="100"/>
        <c:axId val="1265998591"/>
        <c:axId val="1"/>
      </c:barChart>
      <c:catAx>
        <c:axId val="126599859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5998591"/>
        <c:crossesAt val="1"/>
        <c:crossBetween val="between"/>
      </c:valAx>
      <c:spPr>
        <a:noFill/>
        <a:ln w="3175">
          <a:solidFill>
            <a:srgbClr val="B3B3B3"/>
          </a:solidFill>
          <a:prstDash val="solid"/>
        </a:ln>
      </c:spPr>
    </c:plotArea>
    <c:legend>
      <c:legendPos val="b"/>
      <c:layout>
        <c:manualLayout>
          <c:xMode val="edge"/>
          <c:yMode val="edge"/>
          <c:x val="0.33490846229709126"/>
          <c:y val="0.15456081882629835"/>
          <c:w val="0.34625868331344084"/>
          <c:h val="6.614369389703178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DECESSO PER INFORTUNIO / TOD DURCH UNFALL / DÉCÈS SUITE À UN ACCIDENT</a:t>
            </a:r>
            <a:endParaRPr lang="it-CH"/>
          </a:p>
        </c:rich>
      </c:tx>
      <c:layout>
        <c:manualLayout>
          <c:xMode val="edge"/>
          <c:yMode val="edge"/>
          <c:x val="0.1268063773725365"/>
          <c:y val="5.9938547681539799E-2"/>
        </c:manualLayout>
      </c:layout>
      <c:overlay val="0"/>
      <c:spPr>
        <a:noFill/>
        <a:ln w="25400">
          <a:noFill/>
        </a:ln>
      </c:spPr>
    </c:title>
    <c:autoTitleDeleted val="0"/>
    <c:plotArea>
      <c:layout>
        <c:manualLayout>
          <c:layoutTarget val="inner"/>
          <c:xMode val="edge"/>
          <c:yMode val="edge"/>
          <c:x val="0.10806512099471773"/>
          <c:y val="0.38890188755107624"/>
          <c:w val="0.8027694702464746"/>
          <c:h val="0.44181370898659683"/>
        </c:manualLayout>
      </c:layout>
      <c:barChart>
        <c:barDir val="col"/>
        <c:grouping val="percentStacked"/>
        <c:varyColors val="0"/>
        <c:ser>
          <c:idx val="0"/>
          <c:order val="0"/>
          <c:tx>
            <c:strRef>
              <c:f>'calcoli Cliente'!$B$42:$B$42</c:f>
              <c:strCache>
                <c:ptCount val="1"/>
                <c:pt idx="0">
                  <c:v> Redditi / Rendite 1. e 2. pilastro </c:v>
                </c:pt>
              </c:strCache>
            </c:strRef>
          </c:tx>
          <c:spPr>
            <a:solidFill>
              <a:srgbClr val="004586"/>
            </a:solidFill>
            <a:ln w="25400">
              <a:noFill/>
            </a:ln>
          </c:spPr>
          <c:invertIfNegative val="0"/>
          <c:cat>
            <c:strRef>
              <c:f>'calcoli Cliente'!$A$43:$A$45</c:f>
              <c:strCache>
                <c:ptCount val="3"/>
                <c:pt idx="0">
                  <c:v>Fabbisogno</c:v>
                </c:pt>
                <c:pt idx="1">
                  <c:v>Vedovanza (con Figli)</c:v>
                </c:pt>
                <c:pt idx="2">
                  <c:v>Vedovanza (senza Figli)</c:v>
                </c:pt>
              </c:strCache>
            </c:strRef>
          </c:cat>
          <c:val>
            <c:numRef>
              <c:f>'calcoli Cliente'!$B$43:$B$45</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0510-48A4-8DB0-94CE8DE9695F}"/>
            </c:ext>
          </c:extLst>
        </c:ser>
        <c:ser>
          <c:idx val="1"/>
          <c:order val="1"/>
          <c:tx>
            <c:strRef>
              <c:f>'calcoli Cliente'!$D$42:$D$42</c:f>
              <c:strCache>
                <c:ptCount val="1"/>
                <c:pt idx="0">
                  <c:v> Lacune </c:v>
                </c:pt>
              </c:strCache>
            </c:strRef>
          </c:tx>
          <c:spPr>
            <a:solidFill>
              <a:srgbClr val="FF420E"/>
            </a:solidFill>
            <a:ln w="25400">
              <a:noFill/>
            </a:ln>
          </c:spPr>
          <c:invertIfNegative val="0"/>
          <c:cat>
            <c:strRef>
              <c:f>'calcoli Cliente'!$A$43:$A$45</c:f>
              <c:strCache>
                <c:ptCount val="3"/>
                <c:pt idx="0">
                  <c:v>Fabbisogno</c:v>
                </c:pt>
                <c:pt idx="1">
                  <c:v>Vedovanza (con Figli)</c:v>
                </c:pt>
                <c:pt idx="2">
                  <c:v>Vedovanza (senza Figli)</c:v>
                </c:pt>
              </c:strCache>
            </c:strRef>
          </c:cat>
          <c:val>
            <c:numRef>
              <c:f>'calcoli Cliente'!$D$43:$D$45</c:f>
              <c:numCache>
                <c:formatCode>_-* #,##0.00" CHF"_-;\-* #,##0.00" CHF"_-;_-* \-??" CHF"_-;_-@_-</c:formatCode>
                <c:ptCount val="3"/>
                <c:pt idx="1">
                  <c:v>0</c:v>
                </c:pt>
                <c:pt idx="2">
                  <c:v>0</c:v>
                </c:pt>
              </c:numCache>
            </c:numRef>
          </c:val>
          <c:extLst>
            <c:ext xmlns:c16="http://schemas.microsoft.com/office/drawing/2014/chart" uri="{C3380CC4-5D6E-409C-BE32-E72D297353CC}">
              <c16:uniqueId val="{00000001-0510-48A4-8DB0-94CE8DE9695F}"/>
            </c:ext>
          </c:extLst>
        </c:ser>
        <c:dLbls>
          <c:showLegendKey val="0"/>
          <c:showVal val="0"/>
          <c:showCatName val="0"/>
          <c:showSerName val="0"/>
          <c:showPercent val="0"/>
          <c:showBubbleSize val="0"/>
        </c:dLbls>
        <c:gapWidth val="100"/>
        <c:overlap val="100"/>
        <c:axId val="1264477695"/>
        <c:axId val="1"/>
      </c:barChart>
      <c:catAx>
        <c:axId val="1264477695"/>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477695"/>
        <c:crossesAt val="1"/>
        <c:crossBetween val="between"/>
      </c:valAx>
      <c:spPr>
        <a:noFill/>
        <a:ln w="3175">
          <a:solidFill>
            <a:srgbClr val="B3B3B3"/>
          </a:solidFill>
          <a:prstDash val="solid"/>
        </a:ln>
      </c:spPr>
    </c:plotArea>
    <c:legend>
      <c:legendPos val="b"/>
      <c:layout>
        <c:manualLayout>
          <c:xMode val="edge"/>
          <c:yMode val="edge"/>
          <c:x val="0.27722196784269065"/>
          <c:y val="0.19368090988626421"/>
          <c:w val="0.4749267820584141"/>
          <c:h val="5.2911706036745443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DECESSO PER MALATTIA / TOD DURCH KRANKHEIT / DÉCÈS SUITE À UNE MALADIE</a:t>
            </a:r>
            <a:endParaRPr lang="it-CH"/>
          </a:p>
        </c:rich>
      </c:tx>
      <c:layout>
        <c:manualLayout>
          <c:xMode val="edge"/>
          <c:yMode val="edge"/>
          <c:x val="0.15359471346735609"/>
          <c:y val="9.5317181144657717E-2"/>
        </c:manualLayout>
      </c:layout>
      <c:overlay val="0"/>
      <c:spPr>
        <a:noFill/>
        <a:ln w="25400">
          <a:noFill/>
        </a:ln>
      </c:spPr>
    </c:title>
    <c:autoTitleDeleted val="0"/>
    <c:plotArea>
      <c:layout>
        <c:manualLayout>
          <c:layoutTarget val="inner"/>
          <c:xMode val="edge"/>
          <c:yMode val="edge"/>
          <c:x val="0.10634980161384919"/>
          <c:y val="0.39467989974924289"/>
          <c:w val="0.8027694702464746"/>
          <c:h val="0.45068177741636517"/>
        </c:manualLayout>
      </c:layout>
      <c:barChart>
        <c:barDir val="col"/>
        <c:grouping val="percentStacked"/>
        <c:varyColors val="0"/>
        <c:ser>
          <c:idx val="0"/>
          <c:order val="0"/>
          <c:tx>
            <c:strRef>
              <c:f>'calcoli Cliente'!$B$32:$B$32</c:f>
              <c:strCache>
                <c:ptCount val="1"/>
                <c:pt idx="0">
                  <c:v>Redditi / Rendite 1. e 2. pilastro</c:v>
                </c:pt>
              </c:strCache>
            </c:strRef>
          </c:tx>
          <c:spPr>
            <a:solidFill>
              <a:srgbClr val="004586"/>
            </a:solidFill>
            <a:ln w="25400">
              <a:noFill/>
            </a:ln>
          </c:spPr>
          <c:invertIfNegative val="0"/>
          <c:cat>
            <c:strRef>
              <c:f>'calcoli Cliente'!$A$33:$A$35</c:f>
              <c:strCache>
                <c:ptCount val="3"/>
                <c:pt idx="0">
                  <c:v>Fabbisogno</c:v>
                </c:pt>
                <c:pt idx="1">
                  <c:v>Vedovanza (con Figli):</c:v>
                </c:pt>
                <c:pt idx="2">
                  <c:v>Vedovanza (senza Figli):</c:v>
                </c:pt>
              </c:strCache>
            </c:strRef>
          </c:cat>
          <c:val>
            <c:numRef>
              <c:f>'calcoli Cliente'!$B$33:$B$35</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69EC-44D9-8BF0-C2C517705213}"/>
            </c:ext>
          </c:extLst>
        </c:ser>
        <c:ser>
          <c:idx val="1"/>
          <c:order val="1"/>
          <c:tx>
            <c:strRef>
              <c:f>'calcoli Cliente'!$D$32:$D$32</c:f>
              <c:strCache>
                <c:ptCount val="1"/>
                <c:pt idx="0">
                  <c:v>Lacune</c:v>
                </c:pt>
              </c:strCache>
            </c:strRef>
          </c:tx>
          <c:spPr>
            <a:solidFill>
              <a:srgbClr val="FF420E"/>
            </a:solidFill>
            <a:ln w="25400">
              <a:noFill/>
            </a:ln>
          </c:spPr>
          <c:invertIfNegative val="0"/>
          <c:cat>
            <c:strRef>
              <c:f>'calcoli Cliente'!$A$33:$A$35</c:f>
              <c:strCache>
                <c:ptCount val="3"/>
                <c:pt idx="0">
                  <c:v>Fabbisogno</c:v>
                </c:pt>
                <c:pt idx="1">
                  <c:v>Vedovanza (con Figli):</c:v>
                </c:pt>
                <c:pt idx="2">
                  <c:v>Vedovanza (senza Figli):</c:v>
                </c:pt>
              </c:strCache>
            </c:strRef>
          </c:cat>
          <c:val>
            <c:numRef>
              <c:f>'calcoli Cliente'!$D$33:$D$35</c:f>
              <c:numCache>
                <c:formatCode>_-* #,##0.00" CHF"_-;\-* #,##0.00" CHF"_-;_-* \-??" CHF"_-;_-@_-</c:formatCode>
                <c:ptCount val="3"/>
                <c:pt idx="1">
                  <c:v>0</c:v>
                </c:pt>
                <c:pt idx="2">
                  <c:v>0</c:v>
                </c:pt>
              </c:numCache>
            </c:numRef>
          </c:val>
          <c:extLst>
            <c:ext xmlns:c16="http://schemas.microsoft.com/office/drawing/2014/chart" uri="{C3380CC4-5D6E-409C-BE32-E72D297353CC}">
              <c16:uniqueId val="{00000001-69EC-44D9-8BF0-C2C517705213}"/>
            </c:ext>
          </c:extLst>
        </c:ser>
        <c:dLbls>
          <c:showLegendKey val="0"/>
          <c:showVal val="0"/>
          <c:showCatName val="0"/>
          <c:showSerName val="0"/>
          <c:showPercent val="0"/>
          <c:showBubbleSize val="0"/>
        </c:dLbls>
        <c:gapWidth val="100"/>
        <c:overlap val="100"/>
        <c:axId val="1264875919"/>
        <c:axId val="1"/>
      </c:barChart>
      <c:catAx>
        <c:axId val="1264875919"/>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875919"/>
        <c:crossesAt val="1"/>
        <c:crossBetween val="between"/>
      </c:valAx>
      <c:spPr>
        <a:noFill/>
        <a:ln w="3175">
          <a:solidFill>
            <a:srgbClr val="B3B3B3"/>
          </a:solidFill>
          <a:prstDash val="solid"/>
        </a:ln>
      </c:spPr>
    </c:plotArea>
    <c:legend>
      <c:legendPos val="b"/>
      <c:layout>
        <c:manualLayout>
          <c:xMode val="edge"/>
          <c:yMode val="edge"/>
          <c:x val="0.30843794117016027"/>
          <c:y val="0.24420840411958353"/>
          <c:w val="0.4143163766654509"/>
          <c:h val="5.333502667005329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DECESSO PER INFORTUNIO / TOD DURCH UNFALL / DÉCÈS SUITE À UN ACCIDENT</a:t>
            </a:r>
            <a:endParaRPr lang="it-CH"/>
          </a:p>
        </c:rich>
      </c:tx>
      <c:layout>
        <c:manualLayout>
          <c:xMode val="edge"/>
          <c:yMode val="edge"/>
          <c:x val="0.16659766521672481"/>
          <c:y val="6.084871391076116E-2"/>
        </c:manualLayout>
      </c:layout>
      <c:overlay val="0"/>
      <c:spPr>
        <a:noFill/>
        <a:ln w="25400">
          <a:noFill/>
        </a:ln>
      </c:spPr>
    </c:title>
    <c:autoTitleDeleted val="0"/>
    <c:plotArea>
      <c:layout>
        <c:manualLayout>
          <c:layoutTarget val="inner"/>
          <c:xMode val="edge"/>
          <c:yMode val="edge"/>
          <c:x val="0.12820923034118178"/>
          <c:y val="0.3730283411204201"/>
          <c:w val="0.78464048968803257"/>
          <c:h val="0.48943434827856536"/>
        </c:manualLayout>
      </c:layout>
      <c:barChart>
        <c:barDir val="col"/>
        <c:grouping val="percentStacked"/>
        <c:varyColors val="0"/>
        <c:ser>
          <c:idx val="0"/>
          <c:order val="0"/>
          <c:tx>
            <c:strRef>
              <c:f>'Calcoli Partner'!$B$42:$B$42</c:f>
              <c:strCache>
                <c:ptCount val="1"/>
                <c:pt idx="0">
                  <c:v> Redditi / Rendite 1. e 2. pilastro </c:v>
                </c:pt>
              </c:strCache>
            </c:strRef>
          </c:tx>
          <c:spPr>
            <a:solidFill>
              <a:srgbClr val="004586"/>
            </a:solidFill>
            <a:ln w="25400">
              <a:noFill/>
            </a:ln>
          </c:spPr>
          <c:invertIfNegative val="0"/>
          <c:cat>
            <c:strRef>
              <c:f>'Calcoli Partner'!$A$43:$A$45</c:f>
              <c:strCache>
                <c:ptCount val="3"/>
                <c:pt idx="0">
                  <c:v>Fabbisogno</c:v>
                </c:pt>
                <c:pt idx="1">
                  <c:v>Vedovanza (con Figli)</c:v>
                </c:pt>
                <c:pt idx="2">
                  <c:v>Vedovanza (senza Figli)</c:v>
                </c:pt>
              </c:strCache>
            </c:strRef>
          </c:cat>
          <c:val>
            <c:numRef>
              <c:f>'Calcoli Partner'!$B$43:$B$45</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8D5C-42C6-8E50-686589042331}"/>
            </c:ext>
          </c:extLst>
        </c:ser>
        <c:ser>
          <c:idx val="1"/>
          <c:order val="1"/>
          <c:tx>
            <c:strRef>
              <c:f>'Calcoli Partner'!$D$42:$D$42</c:f>
              <c:strCache>
                <c:ptCount val="1"/>
                <c:pt idx="0">
                  <c:v> Lacune </c:v>
                </c:pt>
              </c:strCache>
            </c:strRef>
          </c:tx>
          <c:spPr>
            <a:solidFill>
              <a:srgbClr val="FF420E"/>
            </a:solidFill>
            <a:ln w="25400">
              <a:noFill/>
            </a:ln>
          </c:spPr>
          <c:invertIfNegative val="0"/>
          <c:cat>
            <c:strRef>
              <c:f>'Calcoli Partner'!$A$43:$A$45</c:f>
              <c:strCache>
                <c:ptCount val="3"/>
                <c:pt idx="0">
                  <c:v>Fabbisogno</c:v>
                </c:pt>
                <c:pt idx="1">
                  <c:v>Vedovanza (con Figli)</c:v>
                </c:pt>
                <c:pt idx="2">
                  <c:v>Vedovanza (senza Figli)</c:v>
                </c:pt>
              </c:strCache>
            </c:strRef>
          </c:cat>
          <c:val>
            <c:numRef>
              <c:f>'Calcoli Partner'!$D$43:$D$45</c:f>
              <c:numCache>
                <c:formatCode>_-* #,##0.00" CHF"_-;\-* #,##0.00" CHF"_-;_-* \-??" CHF"_-;_-@_-</c:formatCode>
                <c:ptCount val="3"/>
                <c:pt idx="1">
                  <c:v>0</c:v>
                </c:pt>
                <c:pt idx="2">
                  <c:v>0</c:v>
                </c:pt>
              </c:numCache>
            </c:numRef>
          </c:val>
          <c:extLst>
            <c:ext xmlns:c16="http://schemas.microsoft.com/office/drawing/2014/chart" uri="{C3380CC4-5D6E-409C-BE32-E72D297353CC}">
              <c16:uniqueId val="{00000001-8D5C-42C6-8E50-686589042331}"/>
            </c:ext>
          </c:extLst>
        </c:ser>
        <c:dLbls>
          <c:showLegendKey val="0"/>
          <c:showVal val="0"/>
          <c:showCatName val="0"/>
          <c:showSerName val="0"/>
          <c:showPercent val="0"/>
          <c:showBubbleSize val="0"/>
        </c:dLbls>
        <c:gapWidth val="100"/>
        <c:overlap val="100"/>
        <c:axId val="1264876399"/>
        <c:axId val="1"/>
      </c:barChart>
      <c:catAx>
        <c:axId val="1264876399"/>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876399"/>
        <c:crossesAt val="1"/>
        <c:crossBetween val="between"/>
      </c:valAx>
      <c:spPr>
        <a:noFill/>
        <a:ln w="3175">
          <a:solidFill>
            <a:srgbClr val="B3B3B3"/>
          </a:solidFill>
          <a:prstDash val="solid"/>
        </a:ln>
      </c:spPr>
    </c:plotArea>
    <c:legend>
      <c:legendPos val="b"/>
      <c:layout>
        <c:manualLayout>
          <c:xMode val="edge"/>
          <c:yMode val="edge"/>
          <c:x val="0.28811653912717372"/>
          <c:y val="0.21501424321959753"/>
          <c:w val="0.45539704527970987"/>
          <c:h val="5.2911706036745443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DECESSO PER MALATTIA / TOD DURCH KRANKHEIT / DÉCÈS SUITE À UNE MALADIE</a:t>
            </a:r>
            <a:endParaRPr lang="it-CH"/>
          </a:p>
        </c:rich>
      </c:tx>
      <c:layout>
        <c:manualLayout>
          <c:xMode val="edge"/>
          <c:yMode val="edge"/>
          <c:x val="0.16102705813084464"/>
          <c:y val="7.9014289880431618E-2"/>
        </c:manualLayout>
      </c:layout>
      <c:overlay val="0"/>
      <c:spPr>
        <a:noFill/>
        <a:ln w="25400">
          <a:noFill/>
        </a:ln>
      </c:spPr>
    </c:title>
    <c:autoTitleDeleted val="0"/>
    <c:plotArea>
      <c:layout>
        <c:manualLayout>
          <c:layoutTarget val="inner"/>
          <c:xMode val="edge"/>
          <c:yMode val="edge"/>
          <c:x val="0.13969793158909871"/>
          <c:y val="0.34483827918177801"/>
          <c:w val="0.79730039004509989"/>
          <c:h val="0.48967035643812479"/>
        </c:manualLayout>
      </c:layout>
      <c:barChart>
        <c:barDir val="col"/>
        <c:grouping val="percentStacked"/>
        <c:varyColors val="0"/>
        <c:ser>
          <c:idx val="0"/>
          <c:order val="0"/>
          <c:tx>
            <c:strRef>
              <c:f>'Calcoli Partner'!$B$32:$B$32</c:f>
              <c:strCache>
                <c:ptCount val="1"/>
                <c:pt idx="0">
                  <c:v>Redditi / Rendite 1. e 2. pilastro</c:v>
                </c:pt>
              </c:strCache>
            </c:strRef>
          </c:tx>
          <c:spPr>
            <a:solidFill>
              <a:srgbClr val="004586"/>
            </a:solidFill>
            <a:ln w="25400">
              <a:noFill/>
            </a:ln>
          </c:spPr>
          <c:invertIfNegative val="0"/>
          <c:cat>
            <c:strRef>
              <c:f>'Calcoli Partner'!$A$33:$A$35</c:f>
              <c:strCache>
                <c:ptCount val="3"/>
                <c:pt idx="0">
                  <c:v>Fabbisogno</c:v>
                </c:pt>
                <c:pt idx="1">
                  <c:v>Vedovanza (con Figli):</c:v>
                </c:pt>
                <c:pt idx="2">
                  <c:v>Vedovanza (senza Figli):</c:v>
                </c:pt>
              </c:strCache>
            </c:strRef>
          </c:cat>
          <c:val>
            <c:numRef>
              <c:f>'Calcoli Partner'!$B$33:$B$35</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BB1A-4032-9BB8-C7BDC25D54DB}"/>
            </c:ext>
          </c:extLst>
        </c:ser>
        <c:ser>
          <c:idx val="1"/>
          <c:order val="1"/>
          <c:tx>
            <c:strRef>
              <c:f>'Calcoli Partner'!$D$32:$D$32</c:f>
              <c:strCache>
                <c:ptCount val="1"/>
                <c:pt idx="0">
                  <c:v>Lacune</c:v>
                </c:pt>
              </c:strCache>
            </c:strRef>
          </c:tx>
          <c:spPr>
            <a:solidFill>
              <a:srgbClr val="FF420E"/>
            </a:solidFill>
            <a:ln w="25400">
              <a:noFill/>
            </a:ln>
          </c:spPr>
          <c:invertIfNegative val="0"/>
          <c:cat>
            <c:strRef>
              <c:f>'Calcoli Partner'!$A$33:$A$35</c:f>
              <c:strCache>
                <c:ptCount val="3"/>
                <c:pt idx="0">
                  <c:v>Fabbisogno</c:v>
                </c:pt>
                <c:pt idx="1">
                  <c:v>Vedovanza (con Figli):</c:v>
                </c:pt>
                <c:pt idx="2">
                  <c:v>Vedovanza (senza Figli):</c:v>
                </c:pt>
              </c:strCache>
            </c:strRef>
          </c:cat>
          <c:val>
            <c:numRef>
              <c:f>'Calcoli Partner'!$D$33:$D$35</c:f>
              <c:numCache>
                <c:formatCode>_-* #,##0.00" CHF"_-;\-* #,##0.00" CHF"_-;_-* \-??" CHF"_-;_-@_-</c:formatCode>
                <c:ptCount val="3"/>
                <c:pt idx="1">
                  <c:v>0</c:v>
                </c:pt>
                <c:pt idx="2">
                  <c:v>0</c:v>
                </c:pt>
              </c:numCache>
            </c:numRef>
          </c:val>
          <c:extLst>
            <c:ext xmlns:c16="http://schemas.microsoft.com/office/drawing/2014/chart" uri="{C3380CC4-5D6E-409C-BE32-E72D297353CC}">
              <c16:uniqueId val="{00000001-BB1A-4032-9BB8-C7BDC25D54DB}"/>
            </c:ext>
          </c:extLst>
        </c:ser>
        <c:dLbls>
          <c:showLegendKey val="0"/>
          <c:showVal val="0"/>
          <c:showCatName val="0"/>
          <c:showSerName val="0"/>
          <c:showPercent val="0"/>
          <c:showBubbleSize val="0"/>
        </c:dLbls>
        <c:gapWidth val="100"/>
        <c:overlap val="100"/>
        <c:axId val="1264862959"/>
        <c:axId val="1"/>
      </c:barChart>
      <c:catAx>
        <c:axId val="1264862959"/>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862959"/>
        <c:crossesAt val="1"/>
        <c:crossBetween val="between"/>
      </c:valAx>
      <c:spPr>
        <a:noFill/>
        <a:ln w="3175">
          <a:solidFill>
            <a:srgbClr val="B3B3B3"/>
          </a:solidFill>
          <a:prstDash val="solid"/>
        </a:ln>
      </c:spPr>
    </c:plotArea>
    <c:legend>
      <c:legendPos val="b"/>
      <c:layout>
        <c:manualLayout>
          <c:xMode val="edge"/>
          <c:yMode val="edge"/>
          <c:x val="0.32660843074725748"/>
          <c:y val="0.20752041411490232"/>
          <c:w val="0.42036894078828579"/>
          <c:h val="4.597840583152168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Cliente'!$B$88</c:f>
              <c:strCache>
                <c:ptCount val="1"/>
                <c:pt idx="0">
                  <c:v>COPERTURE</c:v>
                </c:pt>
              </c:strCache>
            </c:strRef>
          </c:tx>
          <c:spPr>
            <a:solidFill>
              <a:schemeClr val="accent1">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0A86-42C1-94F6-115AF90BB30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0A86-42C1-94F6-115AF90BB309}"/>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5-0A86-42C1-94F6-115AF90BB309}"/>
              </c:ext>
            </c:extLst>
          </c:dPt>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7-0A86-42C1-94F6-115AF90BB309}"/>
              </c:ext>
            </c:extLst>
          </c:dPt>
          <c:cat>
            <c:strRef>
              <c:f>'calcoli Cliente'!$A$89:$A$100</c:f>
              <c:strCache>
                <c:ptCount val="12"/>
                <c:pt idx="0">
                  <c:v>Fabbisogno mensile</c:v>
                </c:pt>
                <c:pt idx="1">
                  <c:v>Pens. con split.</c:v>
                </c:pt>
                <c:pt idx="2">
                  <c:v>Pens. senza split.</c:v>
                </c:pt>
                <c:pt idx="3">
                  <c:v>IG Inf. 720. gg</c:v>
                </c:pt>
                <c:pt idx="4">
                  <c:v>IG Mal. 720.gg.</c:v>
                </c:pt>
                <c:pt idx="5">
                  <c:v>Inv. Mal. con figli</c:v>
                </c:pt>
                <c:pt idx="6">
                  <c:v>Inv. Mal. senza figli</c:v>
                </c:pt>
                <c:pt idx="7">
                  <c:v>Inv. per Inf.</c:v>
                </c:pt>
                <c:pt idx="8">
                  <c:v>Vedov. Mal. con figli</c:v>
                </c:pt>
                <c:pt idx="9">
                  <c:v>Vedov. Mal. senza figli</c:v>
                </c:pt>
                <c:pt idx="10">
                  <c:v>Vedov. Inf. con figli</c:v>
                </c:pt>
                <c:pt idx="11">
                  <c:v>Vedov. Inf. senza figli</c:v>
                </c:pt>
              </c:strCache>
            </c:strRef>
          </c:cat>
          <c:val>
            <c:numRef>
              <c:f>'calcoli Cliente'!$B$89:$B$100</c:f>
              <c:numCache>
                <c:formatCode>_-* #,##0.00" CHF"_-;\-* #,##0.00" CHF"_-;_-* \-??" CHF"_-;_-@_-</c:formatCode>
                <c:ptCount val="12"/>
                <c:pt idx="0" formatCode="#,##0_);\(#,##0\)">
                  <c:v>0</c:v>
                </c:pt>
                <c:pt idx="1">
                  <c:v>1260</c:v>
                </c:pt>
                <c:pt idx="2">
                  <c:v>1260</c:v>
                </c:pt>
                <c:pt idx="3">
                  <c:v>0</c:v>
                </c:pt>
                <c:pt idx="4">
                  <c:v>0</c:v>
                </c:pt>
                <c:pt idx="5">
                  <c:v>1260</c:v>
                </c:pt>
                <c:pt idx="6">
                  <c:v>1260</c:v>
                </c:pt>
                <c:pt idx="7">
                  <c:v>0</c:v>
                </c:pt>
                <c:pt idx="8">
                  <c:v>0</c:v>
                </c:pt>
                <c:pt idx="9">
                  <c:v>0</c:v>
                </c:pt>
                <c:pt idx="10">
                  <c:v>0</c:v>
                </c:pt>
                <c:pt idx="11">
                  <c:v>0</c:v>
                </c:pt>
              </c:numCache>
            </c:numRef>
          </c:val>
          <c:extLst>
            <c:ext xmlns:c16="http://schemas.microsoft.com/office/drawing/2014/chart" uri="{C3380CC4-5D6E-409C-BE32-E72D297353CC}">
              <c16:uniqueId val="{00000008-0A86-42C1-94F6-115AF90BB309}"/>
            </c:ext>
          </c:extLst>
        </c:ser>
        <c:ser>
          <c:idx val="1"/>
          <c:order val="1"/>
          <c:tx>
            <c:strRef>
              <c:f>'calcoli Cliente'!$C$88</c:f>
              <c:strCache>
                <c:ptCount val="1"/>
                <c:pt idx="0">
                  <c:v>LACUNE</c:v>
                </c:pt>
              </c:strCache>
            </c:strRef>
          </c:tx>
          <c:spPr>
            <a:solidFill>
              <a:srgbClr val="FF0000">
                <a:alpha val="65098"/>
              </a:srgbClr>
            </a:solidFill>
            <a:ln>
              <a:noFill/>
            </a:ln>
            <a:effectLst/>
          </c:spPr>
          <c:invertIfNegative val="0"/>
          <c:cat>
            <c:strRef>
              <c:f>'calcoli Cliente'!$A$89:$A$100</c:f>
              <c:strCache>
                <c:ptCount val="12"/>
                <c:pt idx="0">
                  <c:v>Fabbisogno mensile</c:v>
                </c:pt>
                <c:pt idx="1">
                  <c:v>Pens. con split.</c:v>
                </c:pt>
                <c:pt idx="2">
                  <c:v>Pens. senza split.</c:v>
                </c:pt>
                <c:pt idx="3">
                  <c:v>IG Inf. 720. gg</c:v>
                </c:pt>
                <c:pt idx="4">
                  <c:v>IG Mal. 720.gg.</c:v>
                </c:pt>
                <c:pt idx="5">
                  <c:v>Inv. Mal. con figli</c:v>
                </c:pt>
                <c:pt idx="6">
                  <c:v>Inv. Mal. senza figli</c:v>
                </c:pt>
                <c:pt idx="7">
                  <c:v>Inv. per Inf.</c:v>
                </c:pt>
                <c:pt idx="8">
                  <c:v>Vedov. Mal. con figli</c:v>
                </c:pt>
                <c:pt idx="9">
                  <c:v>Vedov. Mal. senza figli</c:v>
                </c:pt>
                <c:pt idx="10">
                  <c:v>Vedov. Inf. con figli</c:v>
                </c:pt>
                <c:pt idx="11">
                  <c:v>Vedov. Inf. senza figli</c:v>
                </c:pt>
              </c:strCache>
            </c:strRef>
          </c:cat>
          <c:val>
            <c:numRef>
              <c:f>'calcoli Cliente'!$C$89:$C$100</c:f>
              <c:numCache>
                <c:formatCode>_(* #,##0.00_);_(* \(#,##0.00\);_(* "-"??_);_(@_)</c:formatCode>
                <c:ptCount val="12"/>
                <c:pt idx="1">
                  <c:v>-1260</c:v>
                </c:pt>
                <c:pt idx="2">
                  <c:v>-1260</c:v>
                </c:pt>
                <c:pt idx="3">
                  <c:v>0</c:v>
                </c:pt>
                <c:pt idx="4">
                  <c:v>0</c:v>
                </c:pt>
                <c:pt idx="5">
                  <c:v>-1260</c:v>
                </c:pt>
                <c:pt idx="6">
                  <c:v>-1260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9-0A86-42C1-94F6-115AF90BB309}"/>
            </c:ext>
          </c:extLst>
        </c:ser>
        <c:dLbls>
          <c:showLegendKey val="0"/>
          <c:showVal val="0"/>
          <c:showCatName val="0"/>
          <c:showSerName val="0"/>
          <c:showPercent val="0"/>
          <c:showBubbleSize val="0"/>
        </c:dLbls>
        <c:gapWidth val="100"/>
        <c:overlap val="100"/>
        <c:axId val="1831527327"/>
        <c:axId val="1831523007"/>
        <c:extLst/>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Partner'!$B$88</c:f>
              <c:strCache>
                <c:ptCount val="1"/>
                <c:pt idx="0">
                  <c:v>COPERTURE</c:v>
                </c:pt>
              </c:strCache>
            </c:strRef>
          </c:tx>
          <c:spPr>
            <a:solidFill>
              <a:schemeClr val="accent1">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D092-499B-B320-9922330F145F}"/>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D092-499B-B320-9922330F145F}"/>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5-D092-499B-B320-9922330F145F}"/>
              </c:ext>
            </c:extLst>
          </c:dPt>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7-D092-499B-B320-9922330F145F}"/>
              </c:ext>
            </c:extLst>
          </c:dPt>
          <c:cat>
            <c:strRef>
              <c:f>'Calcoli Partner'!$A$89:$A$100</c:f>
              <c:strCache>
                <c:ptCount val="12"/>
                <c:pt idx="0">
                  <c:v>Fabbisogno mensile</c:v>
                </c:pt>
                <c:pt idx="1">
                  <c:v>Pens. con split.</c:v>
                </c:pt>
                <c:pt idx="2">
                  <c:v>Pens. senza split.</c:v>
                </c:pt>
                <c:pt idx="3">
                  <c:v>IG Inf. 720. gg</c:v>
                </c:pt>
                <c:pt idx="4">
                  <c:v>IG Mal. 720.gg.</c:v>
                </c:pt>
                <c:pt idx="5">
                  <c:v>Inv. Mal. con figli</c:v>
                </c:pt>
                <c:pt idx="6">
                  <c:v>Inv. Mal. senza figli</c:v>
                </c:pt>
                <c:pt idx="7">
                  <c:v>Inv. per Inf.</c:v>
                </c:pt>
                <c:pt idx="8">
                  <c:v>Vedov. Mal. con figli</c:v>
                </c:pt>
                <c:pt idx="9">
                  <c:v>Vedov. Mal. senza figli</c:v>
                </c:pt>
                <c:pt idx="10">
                  <c:v>Vedov. Inf. con figli</c:v>
                </c:pt>
                <c:pt idx="11">
                  <c:v>Vedov. Inf. senza figli</c:v>
                </c:pt>
              </c:strCache>
            </c:strRef>
          </c:cat>
          <c:val>
            <c:numRef>
              <c:f>'Calcoli Partner'!$B$89:$B$100</c:f>
              <c:numCache>
                <c:formatCode>_-* #,##0.00" CHF"_-;\-* #,##0.00" CHF"_-;_-* \-??" CHF"_-;_-@_-</c:formatCode>
                <c:ptCount val="12"/>
                <c:pt idx="0" formatCode="#,##0_);\(#,##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092-499B-B320-9922330F145F}"/>
            </c:ext>
          </c:extLst>
        </c:ser>
        <c:ser>
          <c:idx val="1"/>
          <c:order val="1"/>
          <c:tx>
            <c:strRef>
              <c:f>'Calcoli Partner'!$C$88</c:f>
              <c:strCache>
                <c:ptCount val="1"/>
                <c:pt idx="0">
                  <c:v>LACUNE</c:v>
                </c:pt>
              </c:strCache>
            </c:strRef>
          </c:tx>
          <c:spPr>
            <a:solidFill>
              <a:srgbClr val="FF0000">
                <a:alpha val="65098"/>
              </a:srgbClr>
            </a:solidFill>
            <a:ln>
              <a:noFill/>
            </a:ln>
            <a:effectLst/>
          </c:spPr>
          <c:invertIfNegative val="0"/>
          <c:cat>
            <c:strRef>
              <c:f>'Calcoli Partner'!$A$89:$A$100</c:f>
              <c:strCache>
                <c:ptCount val="12"/>
                <c:pt idx="0">
                  <c:v>Fabbisogno mensile</c:v>
                </c:pt>
                <c:pt idx="1">
                  <c:v>Pens. con split.</c:v>
                </c:pt>
                <c:pt idx="2">
                  <c:v>Pens. senza split.</c:v>
                </c:pt>
                <c:pt idx="3">
                  <c:v>IG Inf. 720. gg</c:v>
                </c:pt>
                <c:pt idx="4">
                  <c:v>IG Mal. 720.gg.</c:v>
                </c:pt>
                <c:pt idx="5">
                  <c:v>Inv. Mal. con figli</c:v>
                </c:pt>
                <c:pt idx="6">
                  <c:v>Inv. Mal. senza figli</c:v>
                </c:pt>
                <c:pt idx="7">
                  <c:v>Inv. per Inf.</c:v>
                </c:pt>
                <c:pt idx="8">
                  <c:v>Vedov. Mal. con figli</c:v>
                </c:pt>
                <c:pt idx="9">
                  <c:v>Vedov. Mal. senza figli</c:v>
                </c:pt>
                <c:pt idx="10">
                  <c:v>Vedov. Inf. con figli</c:v>
                </c:pt>
                <c:pt idx="11">
                  <c:v>Vedov. Inf. senza figli</c:v>
                </c:pt>
              </c:strCache>
            </c:strRef>
          </c:cat>
          <c:val>
            <c:numRef>
              <c:f>'Calcoli Partner'!$C$89:$C$100</c:f>
              <c:numCache>
                <c:formatCode>_(* #,##0.00_);_(* \(#,##0.00\);_(* "-"??_);_(@_)</c:formatCode>
                <c:ptCount val="12"/>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9-D092-499B-B320-9922330F145F}"/>
            </c:ext>
          </c:extLst>
        </c:ser>
        <c:dLbls>
          <c:showLegendKey val="0"/>
          <c:showVal val="0"/>
          <c:showCatName val="0"/>
          <c:showSerName val="0"/>
          <c:showPercent val="0"/>
          <c:showBubbleSize val="0"/>
        </c:dLbls>
        <c:gapWidth val="100"/>
        <c:overlap val="100"/>
        <c:axId val="1831527327"/>
        <c:axId val="1831523007"/>
        <c:extLst/>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COMPOSIZIONE / ZUSAMMENSETZUNG / COMPOSITION</a:t>
            </a:r>
            <a:endParaRPr lang="it-CH"/>
          </a:p>
        </c:rich>
      </c:tx>
      <c:layout>
        <c:manualLayout>
          <c:xMode val="edge"/>
          <c:yMode val="edge"/>
          <c:x val="0.12196210561959916"/>
          <c:y val="5.5598275073169411E-2"/>
        </c:manualLayout>
      </c:layout>
      <c:overlay val="0"/>
      <c:spPr>
        <a:noFill/>
        <a:ln w="25400">
          <a:noFill/>
        </a:ln>
      </c:sp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8443304854677642"/>
          <c:y val="0.22579886423747886"/>
          <c:w val="0.43398594386147721"/>
          <c:h val="0.7156732275910207"/>
        </c:manualLayout>
      </c:layout>
      <c:pie3DChart>
        <c:varyColors val="1"/>
        <c:ser>
          <c:idx val="0"/>
          <c:order val="0"/>
          <c:tx>
            <c:strRef>
              <c:f>'OPP3'!$E$6:$E$6</c:f>
              <c:strCache>
                <c:ptCount val="1"/>
              </c:strCache>
            </c:strRef>
          </c:tx>
          <c:spPr>
            <a:solidFill>
              <a:srgbClr val="004586"/>
            </a:solidFill>
            <a:ln w="25400">
              <a:noFill/>
            </a:ln>
          </c:spPr>
          <c:dPt>
            <c:idx val="0"/>
            <c:bubble3D val="0"/>
            <c:spPr>
              <a:solidFill>
                <a:schemeClr val="accent1">
                  <a:lumMod val="50000"/>
                </a:schemeClr>
              </a:solidFill>
              <a:ln w="25400">
                <a:noFill/>
              </a:ln>
            </c:spPr>
            <c:extLst>
              <c:ext xmlns:c16="http://schemas.microsoft.com/office/drawing/2014/chart" uri="{C3380CC4-5D6E-409C-BE32-E72D297353CC}">
                <c16:uniqueId val="{00000000-94E4-41AA-A705-D99AA7CB5046}"/>
              </c:ext>
            </c:extLst>
          </c:dPt>
          <c:dPt>
            <c:idx val="1"/>
            <c:bubble3D val="0"/>
            <c:spPr>
              <a:solidFill>
                <a:srgbClr val="00FFCC"/>
              </a:solidFill>
              <a:ln w="25400">
                <a:noFill/>
              </a:ln>
            </c:spPr>
            <c:extLst>
              <c:ext xmlns:c16="http://schemas.microsoft.com/office/drawing/2014/chart" uri="{C3380CC4-5D6E-409C-BE32-E72D297353CC}">
                <c16:uniqueId val="{00000001-94E4-41AA-A705-D99AA7CB5046}"/>
              </c:ext>
            </c:extLst>
          </c:dPt>
          <c:dPt>
            <c:idx val="2"/>
            <c:bubble3D val="0"/>
            <c:spPr>
              <a:solidFill>
                <a:schemeClr val="accent1">
                  <a:lumMod val="60000"/>
                  <a:lumOff val="40000"/>
                </a:schemeClr>
              </a:solidFill>
              <a:ln w="25400">
                <a:noFill/>
              </a:ln>
            </c:spPr>
            <c:extLst>
              <c:ext xmlns:c16="http://schemas.microsoft.com/office/drawing/2014/chart" uri="{C3380CC4-5D6E-409C-BE32-E72D297353CC}">
                <c16:uniqueId val="{00000002-94E4-41AA-A705-D99AA7CB5046}"/>
              </c:ext>
            </c:extLst>
          </c:dPt>
          <c:dPt>
            <c:idx val="3"/>
            <c:bubble3D val="0"/>
            <c:spPr>
              <a:solidFill>
                <a:srgbClr val="4976C7"/>
              </a:solidFill>
              <a:ln w="25400">
                <a:noFill/>
              </a:ln>
            </c:spPr>
            <c:extLst>
              <c:ext xmlns:c16="http://schemas.microsoft.com/office/drawing/2014/chart" uri="{C3380CC4-5D6E-409C-BE32-E72D297353CC}">
                <c16:uniqueId val="{00000003-94E4-41AA-A705-D99AA7CB5046}"/>
              </c:ext>
            </c:extLst>
          </c:dPt>
          <c:cat>
            <c:strRef>
              <c:f>'OPP3'!$B$7:$D$10</c:f>
              <c:strCache>
                <c:ptCount val="3"/>
                <c:pt idx="0">
                  <c:v>Capitale alla pensione:</c:v>
                </c:pt>
                <c:pt idx="1">
                  <c:v>Capitale assicurato in caso di decesso:</c:v>
                </c:pt>
                <c:pt idx="2">
                  <c:v>Garanzia del pagamento dei premi in caso di incapacità lavorativa:</c:v>
                </c:pt>
              </c:strCache>
            </c:strRef>
          </c:cat>
          <c:val>
            <c:numRef>
              <c:f>'OPP3'!$E$7:$E$10</c:f>
              <c:numCache>
                <c:formatCode>[$CHF-810]\ #,##0.00</c:formatCode>
                <c:ptCount val="4"/>
                <c:pt idx="0">
                  <c:v>0</c:v>
                </c:pt>
                <c:pt idx="1">
                  <c:v>0</c:v>
                </c:pt>
                <c:pt idx="2">
                  <c:v>0</c:v>
                </c:pt>
                <c:pt idx="3">
                  <c:v>0</c:v>
                </c:pt>
              </c:numCache>
            </c:numRef>
          </c:val>
          <c:extLst>
            <c:ext xmlns:c16="http://schemas.microsoft.com/office/drawing/2014/chart" uri="{C3380CC4-5D6E-409C-BE32-E72D297353CC}">
              <c16:uniqueId val="{00000004-94E4-41AA-A705-D99AA7CB5046}"/>
            </c:ext>
          </c:extLst>
        </c:ser>
        <c:dLbls>
          <c:showLegendKey val="0"/>
          <c:showVal val="0"/>
          <c:showCatName val="0"/>
          <c:showSerName val="0"/>
          <c:showPercent val="0"/>
          <c:showBubbleSize val="0"/>
          <c:showLeaderLines val="1"/>
        </c:dLbls>
      </c:pie3DChart>
      <c:spPr>
        <a:noFill/>
        <a:ln w="3175">
          <a:solidFill>
            <a:srgbClr val="B3B3B3"/>
          </a:solidFill>
          <a:prstDash val="solid"/>
        </a:ln>
      </c:spPr>
    </c:plotArea>
    <c:legend>
      <c:legendPos val="r"/>
      <c:layout>
        <c:manualLayout>
          <c:xMode val="edge"/>
          <c:yMode val="edge"/>
          <c:x val="0.69882591359222324"/>
          <c:y val="0.20392922219741055"/>
          <c:w val="0.28169006087230924"/>
          <c:h val="0.7285339978850267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it-CH"/>
        </a:p>
      </c:txPr>
    </c:legend>
    <c:plotVisOnly val="1"/>
    <c:dispBlanksAs val="zero"/>
    <c:showDLblsOverMax val="0"/>
  </c:chart>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VANTAGGI / VORTEILE / AVANTAGES</a:t>
            </a:r>
            <a:endParaRPr lang="it-CH"/>
          </a:p>
        </c:rich>
      </c:tx>
      <c:layout>
        <c:manualLayout>
          <c:xMode val="edge"/>
          <c:yMode val="edge"/>
          <c:x val="0.11237110696956285"/>
          <c:y val="7.0397238314599722E-2"/>
        </c:manualLayout>
      </c:layout>
      <c:overlay val="0"/>
      <c:spPr>
        <a:noFill/>
        <a:ln w="25400">
          <a:noFill/>
        </a:ln>
      </c:spPr>
    </c:title>
    <c:autoTitleDeleted val="0"/>
    <c:plotArea>
      <c:layout>
        <c:manualLayout>
          <c:layoutTarget val="inner"/>
          <c:xMode val="edge"/>
          <c:yMode val="edge"/>
          <c:x val="0.11111466629569089"/>
          <c:y val="0.27697100343885855"/>
          <c:w val="0.56753952631029803"/>
          <c:h val="0.54606341858245344"/>
        </c:manualLayout>
      </c:layout>
      <c:barChart>
        <c:barDir val="col"/>
        <c:grouping val="clustered"/>
        <c:varyColors val="0"/>
        <c:ser>
          <c:idx val="0"/>
          <c:order val="0"/>
          <c:tx>
            <c:strRef>
              <c:f>'Dati per grafico'!$B$6:$D$6</c:f>
              <c:strCache>
                <c:ptCount val="3"/>
                <c:pt idx="0">
                  <c:v>Capitali investiti con detrazioni fiscali</c:v>
                </c:pt>
              </c:strCache>
            </c:strRef>
          </c:tx>
          <c:spPr>
            <a:solidFill>
              <a:srgbClr val="00FFCC"/>
            </a:solidFill>
            <a:ln w="25400">
              <a:noFill/>
            </a:ln>
          </c:spPr>
          <c:invertIfNegative val="0"/>
          <c:val>
            <c:numRef>
              <c:f>'Dati per grafico'!$E$6</c:f>
              <c:numCache>
                <c:formatCode>#,###.00</c:formatCode>
                <c:ptCount val="1"/>
                <c:pt idx="0">
                  <c:v>0</c:v>
                </c:pt>
              </c:numCache>
            </c:numRef>
          </c:val>
          <c:extLst>
            <c:ext xmlns:c16="http://schemas.microsoft.com/office/drawing/2014/chart" uri="{C3380CC4-5D6E-409C-BE32-E72D297353CC}">
              <c16:uniqueId val="{00000000-9094-4A6D-9EFE-FAD0EBE69DBC}"/>
            </c:ext>
          </c:extLst>
        </c:ser>
        <c:ser>
          <c:idx val="1"/>
          <c:order val="1"/>
          <c:tx>
            <c:strRef>
              <c:f>'Dati per grafico'!$B$7:$D$7</c:f>
              <c:strCache>
                <c:ptCount val="3"/>
                <c:pt idx="0">
                  <c:v>Capitale alla pensione:</c:v>
                </c:pt>
              </c:strCache>
            </c:strRef>
          </c:tx>
          <c:spPr>
            <a:solidFill>
              <a:schemeClr val="accent1">
                <a:lumMod val="50000"/>
              </a:schemeClr>
            </a:solidFill>
            <a:ln w="25400">
              <a:noFill/>
            </a:ln>
          </c:spPr>
          <c:invertIfNegative val="0"/>
          <c:val>
            <c:numRef>
              <c:f>'Dati per grafico'!$E$7</c:f>
              <c:numCache>
                <c:formatCode>#,###.00</c:formatCode>
                <c:ptCount val="1"/>
                <c:pt idx="0">
                  <c:v>0</c:v>
                </c:pt>
              </c:numCache>
            </c:numRef>
          </c:val>
          <c:extLst>
            <c:ext xmlns:c16="http://schemas.microsoft.com/office/drawing/2014/chart" uri="{C3380CC4-5D6E-409C-BE32-E72D297353CC}">
              <c16:uniqueId val="{00000001-9094-4A6D-9EFE-FAD0EBE69DBC}"/>
            </c:ext>
          </c:extLst>
        </c:ser>
        <c:ser>
          <c:idx val="2"/>
          <c:order val="2"/>
          <c:tx>
            <c:strRef>
              <c:f>'Dati per grafico'!$B$8:$D$8</c:f>
              <c:strCache>
                <c:ptCount val="3"/>
                <c:pt idx="0">
                  <c:v>Garanzia del pagamento dei premi in caso di incapacità lavorativa:</c:v>
                </c:pt>
              </c:strCache>
            </c:strRef>
          </c:tx>
          <c:spPr>
            <a:solidFill>
              <a:schemeClr val="accent1">
                <a:lumMod val="75000"/>
              </a:schemeClr>
            </a:solidFill>
            <a:ln w="25400">
              <a:noFill/>
            </a:ln>
          </c:spPr>
          <c:invertIfNegative val="0"/>
          <c:val>
            <c:numRef>
              <c:f>'Dati per grafico'!$E$8</c:f>
              <c:numCache>
                <c:formatCode>#,###.00</c:formatCode>
                <c:ptCount val="1"/>
                <c:pt idx="0">
                  <c:v>0</c:v>
                </c:pt>
              </c:numCache>
            </c:numRef>
          </c:val>
          <c:extLst>
            <c:ext xmlns:c16="http://schemas.microsoft.com/office/drawing/2014/chart" uri="{C3380CC4-5D6E-409C-BE32-E72D297353CC}">
              <c16:uniqueId val="{00000002-9094-4A6D-9EFE-FAD0EBE69DBC}"/>
            </c:ext>
          </c:extLst>
        </c:ser>
        <c:ser>
          <c:idx val="3"/>
          <c:order val="3"/>
          <c:tx>
            <c:strRef>
              <c:f>'Dati per grafico'!$B$9:$D$9</c:f>
              <c:strCache>
                <c:ptCount val="3"/>
                <c:pt idx="0">
                  <c:v>Capitale assicurato in caso di decesso:</c:v>
                </c:pt>
              </c:strCache>
            </c:strRef>
          </c:tx>
          <c:spPr>
            <a:solidFill>
              <a:schemeClr val="accent1">
                <a:lumMod val="60000"/>
                <a:lumOff val="40000"/>
              </a:schemeClr>
            </a:solidFill>
            <a:ln w="25400">
              <a:noFill/>
            </a:ln>
          </c:spPr>
          <c:invertIfNegative val="0"/>
          <c:val>
            <c:numRef>
              <c:f>'Dati per grafico'!$E$9</c:f>
              <c:numCache>
                <c:formatCode>#,###.00</c:formatCode>
                <c:ptCount val="1"/>
                <c:pt idx="0">
                  <c:v>0</c:v>
                </c:pt>
              </c:numCache>
            </c:numRef>
          </c:val>
          <c:extLst>
            <c:ext xmlns:c16="http://schemas.microsoft.com/office/drawing/2014/chart" uri="{C3380CC4-5D6E-409C-BE32-E72D297353CC}">
              <c16:uniqueId val="{00000003-9094-4A6D-9EFE-FAD0EBE69DBC}"/>
            </c:ext>
          </c:extLst>
        </c:ser>
        <c:ser>
          <c:idx val="4"/>
          <c:order val="4"/>
          <c:tx>
            <c:strRef>
              <c:f>'Dati per grafico'!$B$10:$D$10</c:f>
              <c:strCache>
                <c:ptCount val="3"/>
                <c:pt idx="0">
                  <c:v>Capitale assicurato in caso di decesso:</c:v>
                </c:pt>
              </c:strCache>
            </c:strRef>
          </c:tx>
          <c:spPr>
            <a:solidFill>
              <a:schemeClr val="accent1">
                <a:lumMod val="40000"/>
                <a:lumOff val="60000"/>
              </a:schemeClr>
            </a:solidFill>
            <a:ln w="25400">
              <a:noFill/>
            </a:ln>
          </c:spPr>
          <c:invertIfNegative val="0"/>
          <c:val>
            <c:numRef>
              <c:f>'Dati per grafico'!$E$10</c:f>
              <c:numCache>
                <c:formatCode>#,###.00</c:formatCode>
                <c:ptCount val="1"/>
                <c:pt idx="0">
                  <c:v>0</c:v>
                </c:pt>
              </c:numCache>
            </c:numRef>
          </c:val>
          <c:extLst>
            <c:ext xmlns:c16="http://schemas.microsoft.com/office/drawing/2014/chart" uri="{C3380CC4-5D6E-409C-BE32-E72D297353CC}">
              <c16:uniqueId val="{00000004-9094-4A6D-9EFE-FAD0EBE69DBC}"/>
            </c:ext>
          </c:extLst>
        </c:ser>
        <c:dLbls>
          <c:showLegendKey val="0"/>
          <c:showVal val="0"/>
          <c:showCatName val="0"/>
          <c:showSerName val="0"/>
          <c:showPercent val="0"/>
          <c:showBubbleSize val="0"/>
        </c:dLbls>
        <c:gapWidth val="100"/>
        <c:axId val="1265387007"/>
        <c:axId val="1"/>
      </c:barChart>
      <c:catAx>
        <c:axId val="1265387007"/>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0"/>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5387007"/>
        <c:crosses val="autoZero"/>
        <c:crossBetween val="between"/>
      </c:valAx>
      <c:spPr>
        <a:noFill/>
        <a:ln w="3175">
          <a:solidFill>
            <a:srgbClr val="B3B3B3"/>
          </a:solidFill>
          <a:prstDash val="solid"/>
        </a:ln>
      </c:spPr>
    </c:plotArea>
    <c:legend>
      <c:legendPos val="r"/>
      <c:layout>
        <c:manualLayout>
          <c:xMode val="edge"/>
          <c:yMode val="edge"/>
          <c:x val="0.70536879450499546"/>
          <c:y val="8.3366007020926183E-2"/>
          <c:w val="0.26731187124403655"/>
          <c:h val="0.82627298013587624"/>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it-CH"/>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COMPOSIZIONE / ZUSAMMENSETZUNG / COMPOSITION</a:t>
            </a:r>
            <a:endParaRPr lang="it-CH"/>
          </a:p>
        </c:rich>
      </c:tx>
      <c:layout>
        <c:manualLayout>
          <c:xMode val="edge"/>
          <c:yMode val="edge"/>
          <c:x val="6.2811875336774958E-2"/>
          <c:y val="5.3335216506008504E-2"/>
        </c:manualLayout>
      </c:layout>
      <c:overlay val="0"/>
      <c:spPr>
        <a:noFill/>
        <a:ln w="25400">
          <a:noFill/>
        </a:ln>
      </c:sp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4126948259886535"/>
          <c:y val="0.21414317045701528"/>
          <c:w val="0.43230277399316219"/>
          <c:h val="0.7281101134611242"/>
        </c:manualLayout>
      </c:layout>
      <c:pie3DChart>
        <c:varyColors val="1"/>
        <c:ser>
          <c:idx val="0"/>
          <c:order val="0"/>
          <c:spPr>
            <a:solidFill>
              <a:srgbClr val="004586"/>
            </a:solidFill>
            <a:ln w="25400">
              <a:noFill/>
            </a:ln>
          </c:spPr>
          <c:dPt>
            <c:idx val="0"/>
            <c:bubble3D val="0"/>
            <c:extLst>
              <c:ext xmlns:c16="http://schemas.microsoft.com/office/drawing/2014/chart" uri="{C3380CC4-5D6E-409C-BE32-E72D297353CC}">
                <c16:uniqueId val="{00000000-E78A-4A08-A760-FEB7A2D51C12}"/>
              </c:ext>
            </c:extLst>
          </c:dPt>
          <c:dPt>
            <c:idx val="1"/>
            <c:bubble3D val="0"/>
            <c:spPr>
              <a:solidFill>
                <a:srgbClr val="00FFCC"/>
              </a:solidFill>
              <a:ln w="25400">
                <a:noFill/>
              </a:ln>
            </c:spPr>
            <c:extLst>
              <c:ext xmlns:c16="http://schemas.microsoft.com/office/drawing/2014/chart" uri="{C3380CC4-5D6E-409C-BE32-E72D297353CC}">
                <c16:uniqueId val="{00000002-E78A-4A08-A760-FEB7A2D51C12}"/>
              </c:ext>
            </c:extLst>
          </c:dPt>
          <c:dPt>
            <c:idx val="2"/>
            <c:bubble3D val="0"/>
            <c:spPr>
              <a:solidFill>
                <a:schemeClr val="accent1">
                  <a:lumMod val="60000"/>
                  <a:lumOff val="40000"/>
                </a:schemeClr>
              </a:solidFill>
              <a:ln w="25400">
                <a:noFill/>
              </a:ln>
            </c:spPr>
            <c:extLst>
              <c:ext xmlns:c16="http://schemas.microsoft.com/office/drawing/2014/chart" uri="{C3380CC4-5D6E-409C-BE32-E72D297353CC}">
                <c16:uniqueId val="{00000004-E78A-4A08-A760-FEB7A2D51C12}"/>
              </c:ext>
            </c:extLst>
          </c:dPt>
          <c:dPt>
            <c:idx val="3"/>
            <c:bubble3D val="0"/>
            <c:spPr>
              <a:solidFill>
                <a:srgbClr val="537DC9"/>
              </a:solidFill>
              <a:ln w="25400">
                <a:noFill/>
              </a:ln>
            </c:spPr>
            <c:extLst>
              <c:ext xmlns:c16="http://schemas.microsoft.com/office/drawing/2014/chart" uri="{C3380CC4-5D6E-409C-BE32-E72D297353CC}">
                <c16:uniqueId val="{00000006-E78A-4A08-A760-FEB7A2D51C12}"/>
              </c:ext>
            </c:extLst>
          </c:dPt>
          <c:cat>
            <c:strRef>
              <c:f>'OPP3'!$B$57:$D$60</c:f>
              <c:strCache>
                <c:ptCount val="3"/>
                <c:pt idx="0">
                  <c:v>Capitale alla pensione:</c:v>
                </c:pt>
                <c:pt idx="1">
                  <c:v>Capitale assicurato in caso di decesso:</c:v>
                </c:pt>
                <c:pt idx="2">
                  <c:v>Garanzia del pagamento dei premi in caso di incapacità lavorativa:</c:v>
                </c:pt>
              </c:strCache>
            </c:strRef>
          </c:cat>
          <c:val>
            <c:numRef>
              <c:f>'OPP3'!$E$57:$E$60</c:f>
              <c:numCache>
                <c:formatCode>[$CHF-810]\ #,##0.00</c:formatCode>
                <c:ptCount val="4"/>
                <c:pt idx="0">
                  <c:v>0</c:v>
                </c:pt>
                <c:pt idx="1">
                  <c:v>0</c:v>
                </c:pt>
                <c:pt idx="2">
                  <c:v>0</c:v>
                </c:pt>
                <c:pt idx="3">
                  <c:v>0</c:v>
                </c:pt>
              </c:numCache>
            </c:numRef>
          </c:val>
          <c:extLst>
            <c:ext xmlns:c16="http://schemas.microsoft.com/office/drawing/2014/chart" uri="{C3380CC4-5D6E-409C-BE32-E72D297353CC}">
              <c16:uniqueId val="{00000007-E78A-4A08-A760-FEB7A2D51C12}"/>
            </c:ext>
          </c:extLst>
        </c:ser>
        <c:dLbls>
          <c:showLegendKey val="0"/>
          <c:showVal val="0"/>
          <c:showCatName val="0"/>
          <c:showSerName val="0"/>
          <c:showPercent val="0"/>
          <c:showBubbleSize val="0"/>
          <c:showLeaderLines val="1"/>
        </c:dLbls>
      </c:pie3DChart>
      <c:spPr>
        <a:noFill/>
        <a:ln w="3175">
          <a:solidFill>
            <a:srgbClr val="B3B3B3"/>
          </a:solidFill>
          <a:prstDash val="solid"/>
        </a:ln>
      </c:spPr>
    </c:plotArea>
    <c:legend>
      <c:legendPos val="r"/>
      <c:layout>
        <c:manualLayout>
          <c:xMode val="edge"/>
          <c:yMode val="edge"/>
          <c:x val="0.6919486409479203"/>
          <c:y val="0.15293682626871064"/>
          <c:w val="0.29497493685746029"/>
          <c:h val="0.81780445605734264"/>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it-CH"/>
        </a:p>
      </c:txPr>
    </c:legend>
    <c:plotVisOnly val="1"/>
    <c:dispBlanksAs val="zero"/>
    <c:showDLblsOverMax val="0"/>
  </c:chart>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Cliente'!$K$42</c:f>
              <c:strCache>
                <c:ptCount val="1"/>
                <c:pt idx="0">
                  <c:v>Redditi / Rendite 1. e 2. pilastro</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EEAA-48B8-A765-380CC603DC1B}"/>
              </c:ext>
            </c:extLst>
          </c:dPt>
          <c:dPt>
            <c:idx val="1"/>
            <c:invertIfNegative val="0"/>
            <c:bubble3D val="0"/>
            <c:spPr>
              <a:solidFill>
                <a:srgbClr val="63DCDB"/>
              </a:solidFill>
              <a:ln>
                <a:noFill/>
              </a:ln>
              <a:effectLst/>
            </c:spPr>
            <c:extLst>
              <c:ext xmlns:c16="http://schemas.microsoft.com/office/drawing/2014/chart" uri="{C3380CC4-5D6E-409C-BE32-E72D297353CC}">
                <c16:uniqueId val="{00000003-EEAA-48B8-A765-380CC603DC1B}"/>
              </c:ext>
            </c:extLst>
          </c:dPt>
          <c:dPt>
            <c:idx val="2"/>
            <c:invertIfNegative val="0"/>
            <c:bubble3D val="0"/>
            <c:spPr>
              <a:solidFill>
                <a:srgbClr val="63DCDB"/>
              </a:solidFill>
              <a:ln>
                <a:noFill/>
              </a:ln>
              <a:effectLst/>
            </c:spPr>
            <c:extLst>
              <c:ext xmlns:c16="http://schemas.microsoft.com/office/drawing/2014/chart" uri="{C3380CC4-5D6E-409C-BE32-E72D297353CC}">
                <c16:uniqueId val="{00000005-EEAA-48B8-A765-380CC603DC1B}"/>
              </c:ext>
            </c:extLst>
          </c:dPt>
          <c:dPt>
            <c:idx val="3"/>
            <c:invertIfNegative val="0"/>
            <c:bubble3D val="0"/>
            <c:spPr>
              <a:solidFill>
                <a:srgbClr val="4B77C5"/>
              </a:solidFill>
              <a:ln>
                <a:noFill/>
              </a:ln>
              <a:effectLst/>
            </c:spPr>
            <c:extLst>
              <c:ext xmlns:c16="http://schemas.microsoft.com/office/drawing/2014/chart" uri="{C3380CC4-5D6E-409C-BE32-E72D297353CC}">
                <c16:uniqueId val="{00000007-EEAA-48B8-A765-380CC603DC1B}"/>
              </c:ext>
            </c:extLst>
          </c:dPt>
          <c:dLbls>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extLst>
                <c:ext xmlns:c16="http://schemas.microsoft.com/office/drawing/2014/chart" uri="{C3380CC4-5D6E-409C-BE32-E72D297353CC}">
                  <c16:uniqueId val="{00000003-EEAA-48B8-A765-380CC603DC1B}"/>
                </c:ext>
              </c:extLst>
            </c:dLbl>
            <c:dLbl>
              <c:idx val="2"/>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extLst>
                <c:ext xmlns:c16="http://schemas.microsoft.com/office/drawing/2014/chart" uri="{C3380CC4-5D6E-409C-BE32-E72D297353CC}">
                  <c16:uniqueId val="{00000005-EEAA-48B8-A765-380CC603DC1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Cliente'!$J$43:$J$45</c:f>
              <c:strCache>
                <c:ptCount val="3"/>
                <c:pt idx="0">
                  <c:v>Fabbisogno mensile</c:v>
                </c:pt>
                <c:pt idx="1">
                  <c:v>Vedovanza (con Figli)</c:v>
                </c:pt>
                <c:pt idx="2">
                  <c:v>Vedovanza (senza Figli)</c:v>
                </c:pt>
              </c:strCache>
            </c:strRef>
          </c:cat>
          <c:val>
            <c:numRef>
              <c:f>'calcoli Cliente'!$K$43:$K$45</c:f>
              <c:numCache>
                <c:formatCode>#,##0</c:formatCode>
                <c:ptCount val="3"/>
                <c:pt idx="0">
                  <c:v>0</c:v>
                </c:pt>
                <c:pt idx="1">
                  <c:v>0</c:v>
                </c:pt>
                <c:pt idx="2">
                  <c:v>0</c:v>
                </c:pt>
              </c:numCache>
            </c:numRef>
          </c:val>
          <c:extLst>
            <c:ext xmlns:c16="http://schemas.microsoft.com/office/drawing/2014/chart" uri="{C3380CC4-5D6E-409C-BE32-E72D297353CC}">
              <c16:uniqueId val="{00000008-EEAA-48B8-A765-380CC603DC1B}"/>
            </c:ext>
          </c:extLst>
        </c:ser>
        <c:ser>
          <c:idx val="2"/>
          <c:order val="2"/>
          <c:tx>
            <c:strRef>
              <c:f>'calcoli Cliente'!$M$42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Cliente'!$J$43:$J$45</c:f>
              <c:strCache>
                <c:ptCount val="3"/>
                <c:pt idx="0">
                  <c:v>Fabbisogno mensile</c:v>
                </c:pt>
                <c:pt idx="1">
                  <c:v>Vedovanza (con Figli)</c:v>
                </c:pt>
                <c:pt idx="2">
                  <c:v>Vedovanza (senza Figli)</c:v>
                </c:pt>
              </c:strCache>
            </c:strRef>
          </c:cat>
          <c:val>
            <c:numRef>
              <c:f>'calcoli Cliente'!$M$43:$M$45</c:f>
              <c:numCache>
                <c:formatCode>#,##0</c:formatCode>
                <c:ptCount val="3"/>
                <c:pt idx="1">
                  <c:v>0</c:v>
                </c:pt>
                <c:pt idx="2">
                  <c:v>0</c:v>
                </c:pt>
              </c:numCache>
            </c:numRef>
          </c:val>
          <c:extLst>
            <c:ext xmlns:c16="http://schemas.microsoft.com/office/drawing/2014/chart" uri="{C3380CC4-5D6E-409C-BE32-E72D297353CC}">
              <c16:uniqueId val="{00000009-EEAA-48B8-A765-380CC603DC1B}"/>
            </c:ext>
          </c:extLst>
        </c:ser>
        <c:dLbls>
          <c:showLegendKey val="0"/>
          <c:showVal val="0"/>
          <c:showCatName val="0"/>
          <c:showSerName val="0"/>
          <c:showPercent val="0"/>
          <c:showBubbleSize val="0"/>
        </c:dLbls>
        <c:gapWidth val="100"/>
        <c:overlap val="100"/>
        <c:axId val="1831527327"/>
        <c:axId val="1831523007"/>
        <c:extLst>
          <c:ext xmlns:c15="http://schemas.microsoft.com/office/drawing/2012/chart" uri="{02D57815-91ED-43cb-92C2-25804820EDAC}">
            <c15:filteredBarSeries>
              <c15:ser>
                <c:idx val="1"/>
                <c:order val="1"/>
                <c:tx>
                  <c:strRef>
                    <c:extLst>
                      <c:ext uri="{02D57815-91ED-43cb-92C2-25804820EDAC}">
                        <c15:formulaRef>
                          <c15:sqref>'calcoli Cliente'!$L$42</c15:sqref>
                        </c15:formulaRef>
                      </c:ext>
                    </c:extLst>
                    <c:strCache>
                      <c:ptCount val="1"/>
                      <c:pt idx="0">
                        <c:v>3. pilastro</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'calcoli Cliente'!$J$43:$J$45</c15:sqref>
                        </c15:formulaRef>
                      </c:ext>
                    </c:extLst>
                    <c:strCache>
                      <c:ptCount val="3"/>
                      <c:pt idx="0">
                        <c:v>Fabbisogno mensile</c:v>
                      </c:pt>
                      <c:pt idx="1">
                        <c:v>Vedovanza (con Figli)</c:v>
                      </c:pt>
                      <c:pt idx="2">
                        <c:v>Vedovanza (senza Figli)</c:v>
                      </c:pt>
                    </c:strCache>
                  </c:strRef>
                </c:cat>
                <c:val>
                  <c:numRef>
                    <c:extLst>
                      <c:ext uri="{02D57815-91ED-43cb-92C2-25804820EDAC}">
                        <c15:formulaRef>
                          <c15:sqref>'calcoli Cliente'!$L$43:$L$45</c15:sqref>
                        </c15:formulaRef>
                      </c:ext>
                    </c:extLst>
                    <c:numCache>
                      <c:formatCode>#,##0</c:formatCode>
                      <c:ptCount val="3"/>
                    </c:numCache>
                  </c:numRef>
                </c:val>
                <c:extLst>
                  <c:ext xmlns:c16="http://schemas.microsoft.com/office/drawing/2014/chart" uri="{C3380CC4-5D6E-409C-BE32-E72D297353CC}">
                    <c16:uniqueId val="{0000000A-EEAA-48B8-A765-380CC603DC1B}"/>
                  </c:ext>
                </c:extLst>
              </c15:ser>
            </c15:filteredBarSeries>
          </c:ext>
        </c:extLst>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VANTAGGI / VORTEILE / AVANTAGES</a:t>
            </a:r>
            <a:endParaRPr lang="it-CH"/>
          </a:p>
        </c:rich>
      </c:tx>
      <c:layout>
        <c:manualLayout>
          <c:xMode val="edge"/>
          <c:yMode val="edge"/>
          <c:x val="0.16168139553424218"/>
          <c:y val="7.3530464757051286E-2"/>
        </c:manualLayout>
      </c:layout>
      <c:overlay val="0"/>
      <c:spPr>
        <a:noFill/>
        <a:ln w="25400">
          <a:noFill/>
        </a:ln>
      </c:spPr>
    </c:title>
    <c:autoTitleDeleted val="0"/>
    <c:plotArea>
      <c:layout>
        <c:manualLayout>
          <c:layoutTarget val="inner"/>
          <c:xMode val="edge"/>
          <c:yMode val="edge"/>
          <c:x val="0.15784123774743791"/>
          <c:y val="0.25249847251167656"/>
          <c:w val="0.520987547625125"/>
          <c:h val="0.60888539248012052"/>
        </c:manualLayout>
      </c:layout>
      <c:barChart>
        <c:barDir val="col"/>
        <c:grouping val="clustered"/>
        <c:varyColors val="0"/>
        <c:ser>
          <c:idx val="0"/>
          <c:order val="0"/>
          <c:tx>
            <c:strRef>
              <c:f>'Dati per grafico'!$B$17:$D$17</c:f>
              <c:strCache>
                <c:ptCount val="3"/>
                <c:pt idx="0">
                  <c:v>Capitali investiti con detrazioni fiscali</c:v>
                </c:pt>
              </c:strCache>
            </c:strRef>
          </c:tx>
          <c:spPr>
            <a:solidFill>
              <a:srgbClr val="00FFCC"/>
            </a:solidFill>
            <a:ln w="25400">
              <a:noFill/>
            </a:ln>
          </c:spPr>
          <c:invertIfNegative val="0"/>
          <c:val>
            <c:numRef>
              <c:f>'Dati per grafico'!$E$17</c:f>
              <c:numCache>
                <c:formatCode>#,###.00</c:formatCode>
                <c:ptCount val="1"/>
                <c:pt idx="0">
                  <c:v>0</c:v>
                </c:pt>
              </c:numCache>
            </c:numRef>
          </c:val>
          <c:extLst>
            <c:ext xmlns:c16="http://schemas.microsoft.com/office/drawing/2014/chart" uri="{C3380CC4-5D6E-409C-BE32-E72D297353CC}">
              <c16:uniqueId val="{00000000-C570-4487-89A0-9BEE50A891ED}"/>
            </c:ext>
          </c:extLst>
        </c:ser>
        <c:ser>
          <c:idx val="1"/>
          <c:order val="1"/>
          <c:tx>
            <c:strRef>
              <c:f>'Dati per grafico'!$B$18:$D$18</c:f>
              <c:strCache>
                <c:ptCount val="3"/>
                <c:pt idx="0">
                  <c:v>Capitale alla pensione:</c:v>
                </c:pt>
              </c:strCache>
            </c:strRef>
          </c:tx>
          <c:spPr>
            <a:solidFill>
              <a:schemeClr val="accent1">
                <a:lumMod val="50000"/>
              </a:schemeClr>
            </a:solidFill>
            <a:ln w="25400">
              <a:noFill/>
            </a:ln>
          </c:spPr>
          <c:invertIfNegative val="0"/>
          <c:val>
            <c:numRef>
              <c:f>'Dati per grafico'!$E$18</c:f>
              <c:numCache>
                <c:formatCode>#,###.00</c:formatCode>
                <c:ptCount val="1"/>
                <c:pt idx="0">
                  <c:v>0</c:v>
                </c:pt>
              </c:numCache>
            </c:numRef>
          </c:val>
          <c:extLst>
            <c:ext xmlns:c16="http://schemas.microsoft.com/office/drawing/2014/chart" uri="{C3380CC4-5D6E-409C-BE32-E72D297353CC}">
              <c16:uniqueId val="{00000001-C570-4487-89A0-9BEE50A891ED}"/>
            </c:ext>
          </c:extLst>
        </c:ser>
        <c:ser>
          <c:idx val="2"/>
          <c:order val="2"/>
          <c:tx>
            <c:strRef>
              <c:f>'Dati per grafico'!$B$19:$D$19</c:f>
              <c:strCache>
                <c:ptCount val="3"/>
                <c:pt idx="0">
                  <c:v>Garanzia del pagamento dei premi in caso di incapacità lavorativa:</c:v>
                </c:pt>
              </c:strCache>
            </c:strRef>
          </c:tx>
          <c:spPr>
            <a:solidFill>
              <a:srgbClr val="4674C6"/>
            </a:solidFill>
            <a:ln w="25400">
              <a:noFill/>
            </a:ln>
          </c:spPr>
          <c:invertIfNegative val="0"/>
          <c:val>
            <c:numRef>
              <c:f>'Dati per grafico'!$E$19</c:f>
              <c:numCache>
                <c:formatCode>#,###.00</c:formatCode>
                <c:ptCount val="1"/>
                <c:pt idx="0">
                  <c:v>0</c:v>
                </c:pt>
              </c:numCache>
            </c:numRef>
          </c:val>
          <c:extLst>
            <c:ext xmlns:c16="http://schemas.microsoft.com/office/drawing/2014/chart" uri="{C3380CC4-5D6E-409C-BE32-E72D297353CC}">
              <c16:uniqueId val="{00000002-C570-4487-89A0-9BEE50A891ED}"/>
            </c:ext>
          </c:extLst>
        </c:ser>
        <c:ser>
          <c:idx val="3"/>
          <c:order val="3"/>
          <c:tx>
            <c:strRef>
              <c:f>'Dati per grafico'!$B$20:$D$20</c:f>
              <c:strCache>
                <c:ptCount val="3"/>
                <c:pt idx="0">
                  <c:v>Capitale assicurato in caso di decesso:</c:v>
                </c:pt>
              </c:strCache>
            </c:strRef>
          </c:tx>
          <c:spPr>
            <a:solidFill>
              <a:schemeClr val="accent1">
                <a:lumMod val="60000"/>
                <a:lumOff val="40000"/>
              </a:schemeClr>
            </a:solidFill>
            <a:ln w="25400">
              <a:noFill/>
            </a:ln>
          </c:spPr>
          <c:invertIfNegative val="0"/>
          <c:val>
            <c:numRef>
              <c:f>'Dati per grafico'!$E$20</c:f>
              <c:numCache>
                <c:formatCode>#,###.00</c:formatCode>
                <c:ptCount val="1"/>
                <c:pt idx="0">
                  <c:v>0</c:v>
                </c:pt>
              </c:numCache>
            </c:numRef>
          </c:val>
          <c:extLst>
            <c:ext xmlns:c16="http://schemas.microsoft.com/office/drawing/2014/chart" uri="{C3380CC4-5D6E-409C-BE32-E72D297353CC}">
              <c16:uniqueId val="{00000003-C570-4487-89A0-9BEE50A891ED}"/>
            </c:ext>
          </c:extLst>
        </c:ser>
        <c:ser>
          <c:idx val="4"/>
          <c:order val="4"/>
          <c:tx>
            <c:strRef>
              <c:f>'Dati per grafico'!$B$21:$D$21</c:f>
              <c:strCache>
                <c:ptCount val="3"/>
                <c:pt idx="0">
                  <c:v>Capitale assicurato in caso di decesso:</c:v>
                </c:pt>
              </c:strCache>
            </c:strRef>
          </c:tx>
          <c:spPr>
            <a:solidFill>
              <a:schemeClr val="accent1">
                <a:lumMod val="40000"/>
                <a:lumOff val="60000"/>
              </a:schemeClr>
            </a:solidFill>
            <a:ln w="25400">
              <a:noFill/>
            </a:ln>
          </c:spPr>
          <c:invertIfNegative val="0"/>
          <c:val>
            <c:numRef>
              <c:f>'Dati per grafico'!$E$21</c:f>
              <c:numCache>
                <c:formatCode>#,###.00</c:formatCode>
                <c:ptCount val="1"/>
                <c:pt idx="0">
                  <c:v>0</c:v>
                </c:pt>
              </c:numCache>
            </c:numRef>
          </c:val>
          <c:extLst>
            <c:ext xmlns:c16="http://schemas.microsoft.com/office/drawing/2014/chart" uri="{C3380CC4-5D6E-409C-BE32-E72D297353CC}">
              <c16:uniqueId val="{00000004-C570-4487-89A0-9BEE50A891ED}"/>
            </c:ext>
          </c:extLst>
        </c:ser>
        <c:dLbls>
          <c:showLegendKey val="0"/>
          <c:showVal val="0"/>
          <c:showCatName val="0"/>
          <c:showSerName val="0"/>
          <c:showPercent val="0"/>
          <c:showBubbleSize val="0"/>
        </c:dLbls>
        <c:gapWidth val="100"/>
        <c:axId val="1266007231"/>
        <c:axId val="1"/>
      </c:barChart>
      <c:catAx>
        <c:axId val="126600723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0"/>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6007231"/>
        <c:crosses val="autoZero"/>
        <c:crossBetween val="between"/>
      </c:valAx>
      <c:spPr>
        <a:noFill/>
        <a:ln w="3175">
          <a:solidFill>
            <a:srgbClr val="B3B3B3"/>
          </a:solidFill>
          <a:prstDash val="solid"/>
        </a:ln>
      </c:spPr>
    </c:plotArea>
    <c:legend>
      <c:legendPos val="r"/>
      <c:layout>
        <c:manualLayout>
          <c:xMode val="edge"/>
          <c:yMode val="edge"/>
          <c:x val="0.69132688438726642"/>
          <c:y val="7.4297915266271913E-2"/>
          <c:w val="0.28055712435693103"/>
          <c:h val="0.84608469335257896"/>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it-CH"/>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0141024848692"/>
          <c:y val="0.13661703403618616"/>
          <c:w val="0.76192947105432396"/>
          <c:h val="0.6229736752050089"/>
        </c:manualLayout>
      </c:layout>
      <c:barChart>
        <c:barDir val="col"/>
        <c:grouping val="stacked"/>
        <c:varyColors val="0"/>
        <c:ser>
          <c:idx val="0"/>
          <c:order val="0"/>
          <c:tx>
            <c:strRef>
              <c:f>'FUTURE-FINANZ.'!$B$28</c:f>
              <c:strCache>
                <c:ptCount val="1"/>
                <c:pt idx="0">
                  <c:v>cash + 3a/b</c:v>
                </c:pt>
              </c:strCache>
            </c:strRef>
          </c:tx>
          <c:spPr>
            <a:solidFill>
              <a:srgbClr val="4F81BD"/>
            </a:solidFill>
            <a:ln w="25400">
              <a:noFill/>
            </a:ln>
          </c:spPr>
          <c:invertIfNegative val="0"/>
          <c:cat>
            <c:numRef>
              <c:f>'FUTURE-FINANZ.'!$A$29:$A$34</c:f>
              <c:numCache>
                <c:formatCode>General</c:formatCode>
                <c:ptCount val="6"/>
                <c:pt idx="0">
                  <c:v>2025</c:v>
                </c:pt>
                <c:pt idx="1">
                  <c:v>2026</c:v>
                </c:pt>
                <c:pt idx="2">
                  <c:v>2027</c:v>
                </c:pt>
                <c:pt idx="3">
                  <c:v>2028</c:v>
                </c:pt>
                <c:pt idx="4">
                  <c:v>2029</c:v>
                </c:pt>
                <c:pt idx="5">
                  <c:v>2030</c:v>
                </c:pt>
              </c:numCache>
            </c:numRef>
          </c:cat>
          <c:val>
            <c:numRef>
              <c:f>'FUTURE-FINANZ.'!$B$29:$B$34</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608-4B80-9015-9B5A71160A76}"/>
            </c:ext>
          </c:extLst>
        </c:ser>
        <c:ser>
          <c:idx val="1"/>
          <c:order val="1"/>
          <c:tx>
            <c:strRef>
              <c:f>'FUTURE-FINANZ.'!$C$28</c:f>
              <c:strCache>
                <c:ptCount val="1"/>
                <c:pt idx="0">
                  <c:v>LPP</c:v>
                </c:pt>
              </c:strCache>
            </c:strRef>
          </c:tx>
          <c:spPr>
            <a:solidFill>
              <a:schemeClr val="accent1">
                <a:lumMod val="60000"/>
                <a:lumOff val="40000"/>
              </a:schemeClr>
            </a:solidFill>
            <a:ln w="25400">
              <a:noFill/>
            </a:ln>
          </c:spPr>
          <c:invertIfNegative val="0"/>
          <c:dPt>
            <c:idx val="0"/>
            <c:invertIfNegative val="0"/>
            <c:bubble3D val="0"/>
            <c:spPr>
              <a:solidFill>
                <a:schemeClr val="accent1">
                  <a:lumMod val="50000"/>
                </a:schemeClr>
              </a:solidFill>
              <a:ln w="25400">
                <a:noFill/>
              </a:ln>
            </c:spPr>
            <c:extLst>
              <c:ext xmlns:c16="http://schemas.microsoft.com/office/drawing/2014/chart" uri="{C3380CC4-5D6E-409C-BE32-E72D297353CC}">
                <c16:uniqueId val="{00000000-115F-4AB6-A8B6-FCC0B6738B00}"/>
              </c:ext>
            </c:extLst>
          </c:dPt>
          <c:cat>
            <c:numRef>
              <c:f>'FUTURE-FINANZ.'!$A$29:$A$34</c:f>
              <c:numCache>
                <c:formatCode>General</c:formatCode>
                <c:ptCount val="6"/>
                <c:pt idx="0">
                  <c:v>2025</c:v>
                </c:pt>
                <c:pt idx="1">
                  <c:v>2026</c:v>
                </c:pt>
                <c:pt idx="2">
                  <c:v>2027</c:v>
                </c:pt>
                <c:pt idx="3">
                  <c:v>2028</c:v>
                </c:pt>
                <c:pt idx="4">
                  <c:v>2029</c:v>
                </c:pt>
                <c:pt idx="5">
                  <c:v>2030</c:v>
                </c:pt>
              </c:numCache>
            </c:numRef>
          </c:cat>
          <c:val>
            <c:numRef>
              <c:f>'FUTURE-FINANZ.'!$C$29:$C$34</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608-4B80-9015-9B5A71160A76}"/>
            </c:ext>
          </c:extLst>
        </c:ser>
        <c:ser>
          <c:idx val="2"/>
          <c:order val="2"/>
          <c:tx>
            <c:strRef>
              <c:f>'FUTURE-FINANZ.'!$D$28</c:f>
              <c:strCache>
                <c:ptCount val="1"/>
                <c:pt idx="0">
                  <c:v>Finanziamento</c:v>
                </c:pt>
              </c:strCache>
            </c:strRef>
          </c:tx>
          <c:spPr>
            <a:solidFill>
              <a:srgbClr val="00FFCC"/>
            </a:solidFill>
            <a:ln w="25400">
              <a:noFill/>
            </a:ln>
          </c:spPr>
          <c:invertIfNegative val="0"/>
          <c:cat>
            <c:numRef>
              <c:f>'FUTURE-FINANZ.'!$A$29:$A$34</c:f>
              <c:numCache>
                <c:formatCode>General</c:formatCode>
                <c:ptCount val="6"/>
                <c:pt idx="0">
                  <c:v>2025</c:v>
                </c:pt>
                <c:pt idx="1">
                  <c:v>2026</c:v>
                </c:pt>
                <c:pt idx="2">
                  <c:v>2027</c:v>
                </c:pt>
                <c:pt idx="3">
                  <c:v>2028</c:v>
                </c:pt>
                <c:pt idx="4">
                  <c:v>2029</c:v>
                </c:pt>
                <c:pt idx="5">
                  <c:v>2030</c:v>
                </c:pt>
              </c:numCache>
            </c:numRef>
          </c:cat>
          <c:val>
            <c:numRef>
              <c:f>'FUTURE-FINANZ.'!$D$29:$D$34</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608-4B80-9015-9B5A71160A76}"/>
            </c:ext>
          </c:extLst>
        </c:ser>
        <c:dLbls>
          <c:showLegendKey val="0"/>
          <c:showVal val="0"/>
          <c:showCatName val="0"/>
          <c:showSerName val="0"/>
          <c:showPercent val="0"/>
          <c:showBubbleSize val="0"/>
        </c:dLbls>
        <c:gapWidth val="150"/>
        <c:overlap val="100"/>
        <c:axId val="1264870159"/>
        <c:axId val="1"/>
      </c:barChart>
      <c:catAx>
        <c:axId val="1264870159"/>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12700">
              <a:solidFill>
                <a:srgbClr val="878787"/>
              </a:solidFill>
              <a:prstDash val="solid"/>
            </a:ln>
          </c:spPr>
        </c:majorGridlines>
        <c:numFmt formatCode="#,##0&quot;   &quot;"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264870159"/>
        <c:crossesAt val="1"/>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3552192899896"/>
          <c:y val="0.13736696767114026"/>
          <c:w val="0.85788417543199169"/>
          <c:h val="0.62089869387355401"/>
        </c:manualLayout>
      </c:layout>
      <c:barChart>
        <c:barDir val="col"/>
        <c:grouping val="stacked"/>
        <c:varyColors val="0"/>
        <c:ser>
          <c:idx val="0"/>
          <c:order val="0"/>
          <c:tx>
            <c:strRef>
              <c:f>'FUTURE-FINANZ.'!$B$17</c:f>
              <c:strCache>
                <c:ptCount val="1"/>
                <c:pt idx="0">
                  <c:v>cash + 3a/b</c:v>
                </c:pt>
              </c:strCache>
            </c:strRef>
          </c:tx>
          <c:spPr>
            <a:solidFill>
              <a:schemeClr val="accent1">
                <a:lumMod val="50000"/>
              </a:schemeClr>
            </a:solidFill>
            <a:ln w="25400">
              <a:noFill/>
            </a:ln>
          </c:spPr>
          <c:invertIfNegative val="0"/>
          <c:cat>
            <c:numRef>
              <c:f>'FUTURE-FINANZ.'!$A$18:$A$23</c:f>
              <c:numCache>
                <c:formatCode>General</c:formatCode>
                <c:ptCount val="6"/>
                <c:pt idx="0">
                  <c:v>2025</c:v>
                </c:pt>
                <c:pt idx="1">
                  <c:v>2026</c:v>
                </c:pt>
                <c:pt idx="2">
                  <c:v>2027</c:v>
                </c:pt>
                <c:pt idx="3">
                  <c:v>2028</c:v>
                </c:pt>
                <c:pt idx="4">
                  <c:v>2029</c:v>
                </c:pt>
                <c:pt idx="5">
                  <c:v>2030</c:v>
                </c:pt>
              </c:numCache>
            </c:numRef>
          </c:cat>
          <c:val>
            <c:numRef>
              <c:f>'FUTURE-FINANZ.'!$B$18:$B$23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7D2-4104-B633-D73C18241FC5}"/>
            </c:ext>
          </c:extLst>
        </c:ser>
        <c:ser>
          <c:idx val="1"/>
          <c:order val="1"/>
          <c:tx>
            <c:strRef>
              <c:f>'FUTURE-FINANZ.'!$C$17</c:f>
              <c:strCache>
                <c:ptCount val="1"/>
                <c:pt idx="0">
                  <c:v>LPP</c:v>
                </c:pt>
              </c:strCache>
            </c:strRef>
          </c:tx>
          <c:spPr>
            <a:solidFill>
              <a:schemeClr val="accent1">
                <a:lumMod val="60000"/>
                <a:lumOff val="40000"/>
              </a:schemeClr>
            </a:solidFill>
            <a:ln w="25400">
              <a:noFill/>
            </a:ln>
          </c:spPr>
          <c:invertIfNegative val="0"/>
          <c:cat>
            <c:numRef>
              <c:f>'FUTURE-FINANZ.'!$A$18:$A$23</c:f>
              <c:numCache>
                <c:formatCode>General</c:formatCode>
                <c:ptCount val="6"/>
                <c:pt idx="0">
                  <c:v>2025</c:v>
                </c:pt>
                <c:pt idx="1">
                  <c:v>2026</c:v>
                </c:pt>
                <c:pt idx="2">
                  <c:v>2027</c:v>
                </c:pt>
                <c:pt idx="3">
                  <c:v>2028</c:v>
                </c:pt>
                <c:pt idx="4">
                  <c:v>2029</c:v>
                </c:pt>
                <c:pt idx="5">
                  <c:v>2030</c:v>
                </c:pt>
              </c:numCache>
            </c:numRef>
          </c:cat>
          <c:val>
            <c:numRef>
              <c:f>'FUTURE-FINANZ.'!$C$18:$C$23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D2-4104-B633-D73C18241FC5}"/>
            </c:ext>
          </c:extLst>
        </c:ser>
        <c:ser>
          <c:idx val="2"/>
          <c:order val="2"/>
          <c:tx>
            <c:strRef>
              <c:f>'FUTURE-FINANZ.'!$D$17</c:f>
              <c:strCache>
                <c:ptCount val="1"/>
                <c:pt idx="0">
                  <c:v>Finanziamento</c:v>
                </c:pt>
              </c:strCache>
            </c:strRef>
          </c:tx>
          <c:spPr>
            <a:solidFill>
              <a:srgbClr val="00FFCC"/>
            </a:solidFill>
            <a:ln w="25400">
              <a:noFill/>
            </a:ln>
          </c:spPr>
          <c:invertIfNegative val="0"/>
          <c:cat>
            <c:numRef>
              <c:f>'FUTURE-FINANZ.'!$A$18:$A$23</c:f>
              <c:numCache>
                <c:formatCode>General</c:formatCode>
                <c:ptCount val="6"/>
                <c:pt idx="0">
                  <c:v>2025</c:v>
                </c:pt>
                <c:pt idx="1">
                  <c:v>2026</c:v>
                </c:pt>
                <c:pt idx="2">
                  <c:v>2027</c:v>
                </c:pt>
                <c:pt idx="3">
                  <c:v>2028</c:v>
                </c:pt>
                <c:pt idx="4">
                  <c:v>2029</c:v>
                </c:pt>
                <c:pt idx="5">
                  <c:v>2030</c:v>
                </c:pt>
              </c:numCache>
            </c:numRef>
          </c:cat>
          <c:val>
            <c:numRef>
              <c:f>'FUTURE-FINANZ.'!$D$18:$D$23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D2-4104-B633-D73C18241FC5}"/>
            </c:ext>
          </c:extLst>
        </c:ser>
        <c:dLbls>
          <c:showLegendKey val="0"/>
          <c:showVal val="0"/>
          <c:showCatName val="0"/>
          <c:showSerName val="0"/>
          <c:showPercent val="0"/>
          <c:showBubbleSize val="0"/>
        </c:dLbls>
        <c:gapWidth val="150"/>
        <c:overlap val="100"/>
        <c:axId val="1265394207"/>
        <c:axId val="1"/>
      </c:barChart>
      <c:catAx>
        <c:axId val="1265394207"/>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12700">
              <a:solidFill>
                <a:srgbClr val="878787"/>
              </a:solidFill>
              <a:prstDash val="solid"/>
            </a:ln>
          </c:spPr>
        </c:majorGridlines>
        <c:numFmt formatCode="#,##0&quot;   &quot;"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265394207"/>
        <c:crossesAt val="1"/>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0141024848692"/>
          <c:y val="0.13661703403618616"/>
          <c:w val="0.76192947105432396"/>
          <c:h val="0.6229736752050089"/>
        </c:manualLayout>
      </c:layout>
      <c:barChart>
        <c:barDir val="col"/>
        <c:grouping val="stacked"/>
        <c:varyColors val="0"/>
        <c:ser>
          <c:idx val="0"/>
          <c:order val="0"/>
          <c:tx>
            <c:strRef>
              <c:f>'AFFITTO CON RISCATTO'!$B$27</c:f>
              <c:strCache>
                <c:ptCount val="1"/>
                <c:pt idx="0">
                  <c:v>cash + 3a/b</c:v>
                </c:pt>
              </c:strCache>
            </c:strRef>
          </c:tx>
          <c:spPr>
            <a:solidFill>
              <a:srgbClr val="4F81BD"/>
            </a:solidFill>
            <a:ln w="25400">
              <a:noFill/>
            </a:ln>
          </c:spPr>
          <c:invertIfNegative val="0"/>
          <c:cat>
            <c:numRef>
              <c:f>'AFFITTO CON RISCATTO'!$A$28:$A$33</c:f>
              <c:numCache>
                <c:formatCode>General</c:formatCode>
                <c:ptCount val="6"/>
                <c:pt idx="0">
                  <c:v>2025</c:v>
                </c:pt>
                <c:pt idx="1">
                  <c:v>2026</c:v>
                </c:pt>
                <c:pt idx="2">
                  <c:v>2027</c:v>
                </c:pt>
                <c:pt idx="3">
                  <c:v>2028</c:v>
                </c:pt>
                <c:pt idx="4">
                  <c:v>2029</c:v>
                </c:pt>
                <c:pt idx="5">
                  <c:v>2030</c:v>
                </c:pt>
              </c:numCache>
            </c:numRef>
          </c:cat>
          <c:val>
            <c:numRef>
              <c:f>'AFFITTO CON RISCATTO'!$B$28:$B$33</c:f>
              <c:numCache>
                <c:formatCode>#,##0"   "</c:formatCode>
                <c:ptCount val="6"/>
                <c:pt idx="0">
                  <c:v>50000</c:v>
                </c:pt>
                <c:pt idx="1">
                  <c:v>50000</c:v>
                </c:pt>
                <c:pt idx="2">
                  <c:v>50000</c:v>
                </c:pt>
                <c:pt idx="3">
                  <c:v>50000</c:v>
                </c:pt>
                <c:pt idx="4">
                  <c:v>50000</c:v>
                </c:pt>
                <c:pt idx="5">
                  <c:v>50000</c:v>
                </c:pt>
              </c:numCache>
            </c:numRef>
          </c:val>
          <c:extLst>
            <c:ext xmlns:c16="http://schemas.microsoft.com/office/drawing/2014/chart" uri="{C3380CC4-5D6E-409C-BE32-E72D297353CC}">
              <c16:uniqueId val="{00000000-EBDB-47A2-8CC2-D4999DCEF300}"/>
            </c:ext>
          </c:extLst>
        </c:ser>
        <c:ser>
          <c:idx val="1"/>
          <c:order val="1"/>
          <c:tx>
            <c:strRef>
              <c:f>'AFFITTO CON RISCATTO'!$C$27</c:f>
              <c:strCache>
                <c:ptCount val="1"/>
                <c:pt idx="0">
                  <c:v>LPP</c:v>
                </c:pt>
              </c:strCache>
            </c:strRef>
          </c:tx>
          <c:spPr>
            <a:solidFill>
              <a:srgbClr val="C0504D"/>
            </a:solidFill>
            <a:ln w="25400">
              <a:noFill/>
            </a:ln>
          </c:spPr>
          <c:invertIfNegative val="0"/>
          <c:cat>
            <c:numRef>
              <c:f>'AFFITTO CON RISCATTO'!$A$28:$A$33</c:f>
              <c:numCache>
                <c:formatCode>General</c:formatCode>
                <c:ptCount val="6"/>
                <c:pt idx="0">
                  <c:v>2025</c:v>
                </c:pt>
                <c:pt idx="1">
                  <c:v>2026</c:v>
                </c:pt>
                <c:pt idx="2">
                  <c:v>2027</c:v>
                </c:pt>
                <c:pt idx="3">
                  <c:v>2028</c:v>
                </c:pt>
                <c:pt idx="4">
                  <c:v>2029</c:v>
                </c:pt>
                <c:pt idx="5">
                  <c:v>2030</c:v>
                </c:pt>
              </c:numCache>
            </c:numRef>
          </c:cat>
          <c:val>
            <c:numRef>
              <c:f>'AFFITTO CON RISCATTO'!$C$28:$C$33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BDB-47A2-8CC2-D4999DCEF300}"/>
            </c:ext>
          </c:extLst>
        </c:ser>
        <c:ser>
          <c:idx val="2"/>
          <c:order val="2"/>
          <c:tx>
            <c:strRef>
              <c:f>'AFFITTO CON RISCATTO'!$D$27</c:f>
              <c:strCache>
                <c:ptCount val="1"/>
                <c:pt idx="0">
                  <c:v>Finanziamento</c:v>
                </c:pt>
              </c:strCache>
            </c:strRef>
          </c:tx>
          <c:spPr>
            <a:solidFill>
              <a:srgbClr val="9BBB59"/>
            </a:solidFill>
            <a:ln w="25400">
              <a:noFill/>
            </a:ln>
          </c:spPr>
          <c:invertIfNegative val="0"/>
          <c:cat>
            <c:numRef>
              <c:f>'AFFITTO CON RISCATTO'!$A$28:$A$33</c:f>
              <c:numCache>
                <c:formatCode>General</c:formatCode>
                <c:ptCount val="6"/>
                <c:pt idx="0">
                  <c:v>2025</c:v>
                </c:pt>
                <c:pt idx="1">
                  <c:v>2026</c:v>
                </c:pt>
                <c:pt idx="2">
                  <c:v>2027</c:v>
                </c:pt>
                <c:pt idx="3">
                  <c:v>2028</c:v>
                </c:pt>
                <c:pt idx="4">
                  <c:v>2029</c:v>
                </c:pt>
                <c:pt idx="5">
                  <c:v>2030</c:v>
                </c:pt>
              </c:numCache>
            </c:numRef>
          </c:cat>
          <c:val>
            <c:numRef>
              <c:f>'AFFITTO CON RISCATTO'!$D$28:$D$33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EBDB-47A2-8CC2-D4999DCEF300}"/>
            </c:ext>
          </c:extLst>
        </c:ser>
        <c:dLbls>
          <c:showLegendKey val="0"/>
          <c:showVal val="0"/>
          <c:showCatName val="0"/>
          <c:showSerName val="0"/>
          <c:showPercent val="0"/>
          <c:showBubbleSize val="0"/>
        </c:dLbls>
        <c:gapWidth val="150"/>
        <c:overlap val="100"/>
        <c:axId val="1263534031"/>
        <c:axId val="1"/>
      </c:barChart>
      <c:catAx>
        <c:axId val="1263534031"/>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12700">
              <a:solidFill>
                <a:srgbClr val="878787"/>
              </a:solidFill>
              <a:prstDash val="solid"/>
            </a:ln>
          </c:spPr>
        </c:majorGridlines>
        <c:numFmt formatCode="#,##0&quot;   &quot;"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263534031"/>
        <c:crossesAt val="1"/>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3552192899896"/>
          <c:y val="0.13736696767114026"/>
          <c:w val="0.85788417543199169"/>
          <c:h val="0.62089869387355401"/>
        </c:manualLayout>
      </c:layout>
      <c:barChart>
        <c:barDir val="col"/>
        <c:grouping val="stacked"/>
        <c:varyColors val="0"/>
        <c:ser>
          <c:idx val="0"/>
          <c:order val="0"/>
          <c:tx>
            <c:strRef>
              <c:f>'AFFITTO CON RISCATTO'!$B$16</c:f>
              <c:strCache>
                <c:ptCount val="1"/>
                <c:pt idx="0">
                  <c:v>cash + 3a/b</c:v>
                </c:pt>
              </c:strCache>
            </c:strRef>
          </c:tx>
          <c:spPr>
            <a:solidFill>
              <a:srgbClr val="4F81BD"/>
            </a:solidFill>
            <a:ln w="25400">
              <a:noFill/>
            </a:ln>
          </c:spPr>
          <c:invertIfNegative val="0"/>
          <c:cat>
            <c:numRef>
              <c:f>'AFFITTO CON RISCATTO'!$A$17:$A$22</c:f>
              <c:numCache>
                <c:formatCode>General</c:formatCode>
                <c:ptCount val="6"/>
                <c:pt idx="0">
                  <c:v>2025</c:v>
                </c:pt>
                <c:pt idx="1">
                  <c:v>2026</c:v>
                </c:pt>
                <c:pt idx="2">
                  <c:v>2027</c:v>
                </c:pt>
                <c:pt idx="3">
                  <c:v>2028</c:v>
                </c:pt>
                <c:pt idx="4">
                  <c:v>2029</c:v>
                </c:pt>
                <c:pt idx="5">
                  <c:v>2030</c:v>
                </c:pt>
              </c:numCache>
            </c:numRef>
          </c:cat>
          <c:val>
            <c:numRef>
              <c:f>'AFFITTO CON RISCATTO'!$B$17:$B$22</c:f>
              <c:numCache>
                <c:formatCode>#,##0"   "</c:formatCode>
                <c:ptCount val="6"/>
                <c:pt idx="0">
                  <c:v>50000</c:v>
                </c:pt>
                <c:pt idx="1">
                  <c:v>50000</c:v>
                </c:pt>
                <c:pt idx="2">
                  <c:v>50000</c:v>
                </c:pt>
                <c:pt idx="3">
                  <c:v>50000</c:v>
                </c:pt>
                <c:pt idx="4">
                  <c:v>50000</c:v>
                </c:pt>
                <c:pt idx="5">
                  <c:v>50000</c:v>
                </c:pt>
              </c:numCache>
            </c:numRef>
          </c:val>
          <c:extLst>
            <c:ext xmlns:c16="http://schemas.microsoft.com/office/drawing/2014/chart" uri="{C3380CC4-5D6E-409C-BE32-E72D297353CC}">
              <c16:uniqueId val="{00000000-0645-4681-B6AF-0F8A50E041CF}"/>
            </c:ext>
          </c:extLst>
        </c:ser>
        <c:ser>
          <c:idx val="1"/>
          <c:order val="1"/>
          <c:tx>
            <c:strRef>
              <c:f>'AFFITTO CON RISCATTO'!$C$16</c:f>
              <c:strCache>
                <c:ptCount val="1"/>
                <c:pt idx="0">
                  <c:v>LPP</c:v>
                </c:pt>
              </c:strCache>
            </c:strRef>
          </c:tx>
          <c:spPr>
            <a:solidFill>
              <a:srgbClr val="C0504D"/>
            </a:solidFill>
            <a:ln w="25400">
              <a:noFill/>
            </a:ln>
          </c:spPr>
          <c:invertIfNegative val="0"/>
          <c:cat>
            <c:numRef>
              <c:f>'AFFITTO CON RISCATTO'!$A$17:$A$22</c:f>
              <c:numCache>
                <c:formatCode>General</c:formatCode>
                <c:ptCount val="6"/>
                <c:pt idx="0">
                  <c:v>2025</c:v>
                </c:pt>
                <c:pt idx="1">
                  <c:v>2026</c:v>
                </c:pt>
                <c:pt idx="2">
                  <c:v>2027</c:v>
                </c:pt>
                <c:pt idx="3">
                  <c:v>2028</c:v>
                </c:pt>
                <c:pt idx="4">
                  <c:v>2029</c:v>
                </c:pt>
                <c:pt idx="5">
                  <c:v>2030</c:v>
                </c:pt>
              </c:numCache>
            </c:numRef>
          </c:cat>
          <c:val>
            <c:numRef>
              <c:f>'AFFITTO CON RISCATTO'!$C$17:$C$22</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645-4681-B6AF-0F8A50E041CF}"/>
            </c:ext>
          </c:extLst>
        </c:ser>
        <c:ser>
          <c:idx val="2"/>
          <c:order val="2"/>
          <c:tx>
            <c:strRef>
              <c:f>'AFFITTO CON RISCATTO'!$D$16</c:f>
              <c:strCache>
                <c:ptCount val="1"/>
                <c:pt idx="0">
                  <c:v>Finanziamento</c:v>
                </c:pt>
              </c:strCache>
            </c:strRef>
          </c:tx>
          <c:spPr>
            <a:solidFill>
              <a:srgbClr val="9BBB59"/>
            </a:solidFill>
            <a:ln w="25400">
              <a:noFill/>
            </a:ln>
          </c:spPr>
          <c:invertIfNegative val="0"/>
          <c:cat>
            <c:numRef>
              <c:f>'AFFITTO CON RISCATTO'!$A$17:$A$22</c:f>
              <c:numCache>
                <c:formatCode>General</c:formatCode>
                <c:ptCount val="6"/>
                <c:pt idx="0">
                  <c:v>2025</c:v>
                </c:pt>
                <c:pt idx="1">
                  <c:v>2026</c:v>
                </c:pt>
                <c:pt idx="2">
                  <c:v>2027</c:v>
                </c:pt>
                <c:pt idx="3">
                  <c:v>2028</c:v>
                </c:pt>
                <c:pt idx="4">
                  <c:v>2029</c:v>
                </c:pt>
                <c:pt idx="5">
                  <c:v>2030</c:v>
                </c:pt>
              </c:numCache>
            </c:numRef>
          </c:cat>
          <c:val>
            <c:numRef>
              <c:f>'AFFITTO CON RISCATTO'!$D$17:$D$22</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645-4681-B6AF-0F8A50E041CF}"/>
            </c:ext>
          </c:extLst>
        </c:ser>
        <c:dLbls>
          <c:showLegendKey val="0"/>
          <c:showVal val="0"/>
          <c:showCatName val="0"/>
          <c:showSerName val="0"/>
          <c:showPercent val="0"/>
          <c:showBubbleSize val="0"/>
        </c:dLbls>
        <c:gapWidth val="150"/>
        <c:overlap val="100"/>
        <c:axId val="1263530671"/>
        <c:axId val="1"/>
      </c:barChart>
      <c:catAx>
        <c:axId val="1263530671"/>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12700">
              <a:solidFill>
                <a:srgbClr val="878787"/>
              </a:solidFill>
              <a:prstDash val="solid"/>
            </a:ln>
          </c:spPr>
        </c:majorGridlines>
        <c:numFmt formatCode="#,##0&quot;   &quot;"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263530671"/>
        <c:crossesAt val="1"/>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FIGLI!$A$12</c:f>
              <c:strCache>
                <c:ptCount val="1"/>
                <c:pt idx="0">
                  <c:v>Costo presumibile degli studi: </c:v>
                </c:pt>
              </c:strCache>
            </c:strRef>
          </c:tx>
          <c:spPr>
            <a:solidFill>
              <a:srgbClr val="FF0000">
                <a:alpha val="65098"/>
              </a:srgbClr>
            </a:solidFill>
            <a:ln>
              <a:noFill/>
            </a:ln>
            <a:effectLst/>
          </c:spPr>
          <c:invertIfNegative val="0"/>
          <c:dPt>
            <c:idx val="0"/>
            <c:invertIfNegative val="0"/>
            <c:bubble3D val="0"/>
            <c:spPr>
              <a:solidFill>
                <a:srgbClr val="FF0000">
                  <a:alpha val="65098"/>
                </a:srgbClr>
              </a:solidFill>
              <a:ln>
                <a:noFill/>
              </a:ln>
              <a:effectLst/>
            </c:spPr>
            <c:extLst>
              <c:ext xmlns:c16="http://schemas.microsoft.com/office/drawing/2014/chart" uri="{C3380CC4-5D6E-409C-BE32-E72D297353CC}">
                <c16:uniqueId val="{00000001-009E-4D2C-B518-6C145D1DF399}"/>
              </c:ext>
            </c:extLst>
          </c:dPt>
          <c:dPt>
            <c:idx val="1"/>
            <c:invertIfNegative val="0"/>
            <c:bubble3D val="0"/>
            <c:spPr>
              <a:solidFill>
                <a:srgbClr val="FF0000">
                  <a:alpha val="65098"/>
                </a:srgbClr>
              </a:solidFill>
              <a:ln>
                <a:noFill/>
              </a:ln>
              <a:effectLst/>
            </c:spPr>
            <c:extLst>
              <c:ext xmlns:c16="http://schemas.microsoft.com/office/drawing/2014/chart" uri="{C3380CC4-5D6E-409C-BE32-E72D297353CC}">
                <c16:uniqueId val="{00000002-009E-4D2C-B518-6C145D1DF399}"/>
              </c:ext>
            </c:extLst>
          </c:dPt>
          <c:dPt>
            <c:idx val="2"/>
            <c:invertIfNegative val="0"/>
            <c:bubble3D val="0"/>
            <c:spPr>
              <a:solidFill>
                <a:srgbClr val="FF0000">
                  <a:alpha val="65098"/>
                </a:srgbClr>
              </a:solidFill>
              <a:ln>
                <a:noFill/>
              </a:ln>
              <a:effectLst/>
            </c:spPr>
            <c:extLst>
              <c:ext xmlns:c16="http://schemas.microsoft.com/office/drawing/2014/chart" uri="{C3380CC4-5D6E-409C-BE32-E72D297353CC}">
                <c16:uniqueId val="{00000003-009E-4D2C-B518-6C145D1DF399}"/>
              </c:ext>
            </c:extLst>
          </c:dPt>
          <c:cat>
            <c:multiLvlStrRef>
              <c:f>FIGLI!$C$6:$E$6</c:f>
            </c:multiLvlStrRef>
          </c:cat>
          <c:val>
            <c:numRef>
              <c:f>FIGLI!$C$12:$E$12</c:f>
              <c:numCache>
                <c:formatCode>#,##0</c:formatCode>
                <c:ptCount val="3"/>
                <c:pt idx="0">
                  <c:v>0</c:v>
                </c:pt>
                <c:pt idx="1">
                  <c:v>0</c:v>
                </c:pt>
                <c:pt idx="2">
                  <c:v>0</c:v>
                </c:pt>
              </c:numCache>
            </c:numRef>
          </c:val>
          <c:extLst>
            <c:ext xmlns:c16="http://schemas.microsoft.com/office/drawing/2014/chart" uri="{C3380CC4-5D6E-409C-BE32-E72D297353CC}">
              <c16:uniqueId val="{00000000-0C00-45A2-A0CB-A2F0FFF0617F}"/>
            </c:ext>
          </c:extLst>
        </c:ser>
        <c:ser>
          <c:idx val="1"/>
          <c:order val="1"/>
          <c:tx>
            <c:strRef>
              <c:f>FIGLI!$A$13</c:f>
              <c:strCache>
                <c:ptCount val="1"/>
                <c:pt idx="0">
                  <c:v>Capitale già disponibile</c:v>
                </c:pt>
              </c:strCache>
            </c:strRef>
          </c:tx>
          <c:spPr>
            <a:solidFill>
              <a:srgbClr val="66FFFF"/>
            </a:solidFill>
            <a:ln>
              <a:noFill/>
            </a:ln>
            <a:effectLst/>
          </c:spPr>
          <c:invertIfNegative val="0"/>
          <c:cat>
            <c:multiLvlStrRef>
              <c:f>FIGLI!$C$6:$E$6</c:f>
            </c:multiLvlStrRef>
          </c:cat>
          <c:val>
            <c:numRef>
              <c:f>FIGLI!$C$13:$E$13</c:f>
              <c:numCache>
                <c:formatCode>#,##0</c:formatCode>
                <c:ptCount val="3"/>
                <c:pt idx="0">
                  <c:v>0</c:v>
                </c:pt>
                <c:pt idx="1">
                  <c:v>0</c:v>
                </c:pt>
                <c:pt idx="2">
                  <c:v>0</c:v>
                </c:pt>
              </c:numCache>
            </c:numRef>
          </c:val>
          <c:extLst>
            <c:ext xmlns:c16="http://schemas.microsoft.com/office/drawing/2014/chart" uri="{C3380CC4-5D6E-409C-BE32-E72D297353CC}">
              <c16:uniqueId val="{00000001-0C00-45A2-A0CB-A2F0FFF0617F}"/>
            </c:ext>
          </c:extLst>
        </c:ser>
        <c:ser>
          <c:idx val="2"/>
          <c:order val="2"/>
          <c:tx>
            <c:strRef>
              <c:f>FIGLI!$A$14</c:f>
              <c:strCache>
                <c:ptCount val="1"/>
                <c:pt idx="0">
                  <c:v>Con risparmio mensile proposto</c:v>
                </c:pt>
              </c:strCache>
            </c:strRef>
          </c:tx>
          <c:spPr>
            <a:solidFill>
              <a:srgbClr val="0070C0"/>
            </a:solidFill>
            <a:ln>
              <a:noFill/>
            </a:ln>
            <a:effectLst/>
          </c:spPr>
          <c:invertIfNegative val="0"/>
          <c:cat>
            <c:multiLvlStrRef>
              <c:f>FIGLI!$C$6:$E$6</c:f>
            </c:multiLvlStrRef>
          </c:cat>
          <c:val>
            <c:numRef>
              <c:f>FIGLI!$C$14:$E$14</c:f>
              <c:numCache>
                <c:formatCode>#,##0</c:formatCode>
                <c:ptCount val="3"/>
                <c:pt idx="0">
                  <c:v>0</c:v>
                </c:pt>
                <c:pt idx="1">
                  <c:v>0</c:v>
                </c:pt>
                <c:pt idx="2">
                  <c:v>0</c:v>
                </c:pt>
              </c:numCache>
            </c:numRef>
          </c:val>
          <c:extLst>
            <c:ext xmlns:c16="http://schemas.microsoft.com/office/drawing/2014/chart" uri="{C3380CC4-5D6E-409C-BE32-E72D297353CC}">
              <c16:uniqueId val="{00000000-009E-4D2C-B518-6C145D1DF399}"/>
            </c:ext>
          </c:extLst>
        </c:ser>
        <c:dLbls>
          <c:showLegendKey val="0"/>
          <c:showVal val="0"/>
          <c:showCatName val="0"/>
          <c:showSerName val="0"/>
          <c:showPercent val="0"/>
          <c:showBubbleSize val="0"/>
        </c:dLbls>
        <c:gapWidth val="219"/>
        <c:overlap val="-27"/>
        <c:axId val="1264871119"/>
        <c:axId val="1"/>
      </c:barChart>
      <c:catAx>
        <c:axId val="1264871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1264871119"/>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it-CH"/>
          </a:p>
        </c:txPr>
      </c:dTable>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it-CH"/>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59321731280987"/>
          <c:y val="8.178720224918512E-2"/>
          <c:w val="0.42178289272357578"/>
          <c:h val="0.82788056182503833"/>
        </c:manualLayout>
      </c:layout>
      <c:barChart>
        <c:barDir val="bar"/>
        <c:grouping val="percentStacked"/>
        <c:varyColors val="0"/>
        <c:ser>
          <c:idx val="0"/>
          <c:order val="0"/>
          <c:tx>
            <c:strRef>
              <c:f>'Dati per grafico Capofamiglia'!$B$37</c:f>
              <c:strCache>
                <c:ptCount val="1"/>
                <c:pt idx="0">
                  <c:v>Copertura</c:v>
                </c:pt>
              </c:strCache>
            </c:strRef>
          </c:tx>
          <c:spPr>
            <a:solidFill>
              <a:srgbClr val="004586"/>
            </a:solidFill>
            <a:ln w="25400">
              <a:noFill/>
            </a:ln>
          </c:spPr>
          <c:invertIfNegative val="0"/>
          <c:cat>
            <c:strRef>
              <c:f>'Dati per grafico Capofamiglia'!$A$38:$A$50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Capofamiglia'!$B$38:$B$50</c:f>
              <c:numCache>
                <c:formatCode>0</c:formatCode>
                <c:ptCount val="13"/>
                <c:pt idx="0">
                  <c:v>0</c:v>
                </c:pt>
                <c:pt idx="1">
                  <c:v>0</c:v>
                </c:pt>
                <c:pt idx="2" formatCode="General">
                  <c:v>0</c:v>
                </c:pt>
                <c:pt idx="3" formatCode="General">
                  <c:v>0</c:v>
                </c:pt>
                <c:pt idx="4" formatCode="General">
                  <c:v>0</c:v>
                </c:pt>
                <c:pt idx="5">
                  <c:v>0</c:v>
                </c:pt>
                <c:pt idx="6">
                  <c:v>0</c:v>
                </c:pt>
                <c:pt idx="7">
                  <c:v>0</c:v>
                </c:pt>
                <c:pt idx="8" formatCode="General">
                  <c:v>0</c:v>
                </c:pt>
                <c:pt idx="9" formatCode="General">
                  <c:v>0</c:v>
                </c:pt>
                <c:pt idx="10" formatCode="General">
                  <c:v>0</c:v>
                </c:pt>
                <c:pt idx="11" formatCode="General">
                  <c:v>0</c:v>
                </c:pt>
                <c:pt idx="12" formatCode="General">
                  <c:v>1</c:v>
                </c:pt>
              </c:numCache>
            </c:numRef>
          </c:val>
          <c:extLst>
            <c:ext xmlns:c16="http://schemas.microsoft.com/office/drawing/2014/chart" uri="{C3380CC4-5D6E-409C-BE32-E72D297353CC}">
              <c16:uniqueId val="{00000000-617D-409A-8173-48CED65F4F26}"/>
            </c:ext>
          </c:extLst>
        </c:ser>
        <c:ser>
          <c:idx val="1"/>
          <c:order val="1"/>
          <c:tx>
            <c:strRef>
              <c:f>'Dati per grafico Capofamiglia'!$C$37</c:f>
              <c:strCache>
                <c:ptCount val="1"/>
                <c:pt idx="0">
                  <c:v>Rischio Spese</c:v>
                </c:pt>
              </c:strCache>
            </c:strRef>
          </c:tx>
          <c:spPr>
            <a:solidFill>
              <a:srgbClr val="FF0000">
                <a:alpha val="65098"/>
              </a:srgbClr>
            </a:solidFill>
            <a:ln w="25400">
              <a:noFill/>
            </a:ln>
          </c:spPr>
          <c:invertIfNegative val="0"/>
          <c:cat>
            <c:strRef>
              <c:f>'Dati per grafico Capofamiglia'!$A$38:$A$50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Capofamiglia'!$C$38:$C$50</c:f>
              <c:numCache>
                <c:formatCode>0</c:formatCode>
                <c:ptCount val="13"/>
                <c:pt idx="0">
                  <c:v>1</c:v>
                </c:pt>
                <c:pt idx="1">
                  <c:v>1</c:v>
                </c:pt>
                <c:pt idx="2" formatCode="General">
                  <c:v>1</c:v>
                </c:pt>
                <c:pt idx="3" formatCode="General">
                  <c:v>1</c:v>
                </c:pt>
                <c:pt idx="4" formatCode="General">
                  <c:v>1</c:v>
                </c:pt>
                <c:pt idx="5">
                  <c:v>1</c:v>
                </c:pt>
                <c:pt idx="6">
                  <c:v>1</c:v>
                </c:pt>
                <c:pt idx="7">
                  <c:v>1</c:v>
                </c:pt>
                <c:pt idx="8" formatCode="General">
                  <c:v>1</c:v>
                </c:pt>
                <c:pt idx="9" formatCode="General">
                  <c:v>1</c:v>
                </c:pt>
                <c:pt idx="10" formatCode="General">
                  <c:v>1</c:v>
                </c:pt>
                <c:pt idx="11" formatCode="General">
                  <c:v>1</c:v>
                </c:pt>
                <c:pt idx="12" formatCode="General">
                  <c:v>0</c:v>
                </c:pt>
              </c:numCache>
            </c:numRef>
          </c:val>
          <c:extLst>
            <c:ext xmlns:c16="http://schemas.microsoft.com/office/drawing/2014/chart" uri="{C3380CC4-5D6E-409C-BE32-E72D297353CC}">
              <c16:uniqueId val="{00000001-617D-409A-8173-48CED65F4F26}"/>
            </c:ext>
          </c:extLst>
        </c:ser>
        <c:dLbls>
          <c:showLegendKey val="0"/>
          <c:showVal val="0"/>
          <c:showCatName val="0"/>
          <c:showSerName val="0"/>
          <c:showPercent val="0"/>
          <c:showBubbleSize val="0"/>
        </c:dLbls>
        <c:gapWidth val="100"/>
        <c:overlap val="100"/>
        <c:axId val="1260009695"/>
        <c:axId val="1"/>
      </c:barChart>
      <c:catAx>
        <c:axId val="126000969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0009695"/>
        <c:crossesAt val="1"/>
        <c:crossBetween val="between"/>
      </c:valAx>
      <c:spPr>
        <a:noFill/>
        <a:ln w="3175">
          <a:solidFill>
            <a:srgbClr val="B3B3B3"/>
          </a:solidFill>
          <a:prstDash val="solid"/>
        </a:ln>
      </c:spPr>
    </c:plotArea>
    <c:legend>
      <c:legendPos val="r"/>
      <c:layout>
        <c:manualLayout>
          <c:xMode val="edge"/>
          <c:yMode val="edge"/>
          <c:x val="1.9822892189748694E-2"/>
          <c:y val="1.9170746000251572E-2"/>
          <c:w val="0.97631181310614379"/>
          <c:h val="3.860409911996295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174020577156337"/>
          <c:y val="7.9117116125272627E-2"/>
          <c:w val="0.4138078220808214"/>
          <c:h val="0.83073066840793519"/>
        </c:manualLayout>
      </c:layout>
      <c:barChart>
        <c:barDir val="bar"/>
        <c:grouping val="percentStacked"/>
        <c:varyColors val="0"/>
        <c:ser>
          <c:idx val="0"/>
          <c:order val="0"/>
          <c:tx>
            <c:strRef>
              <c:f>'Dati per grafico Capofamiglia'!$B$52</c:f>
              <c:strCache>
                <c:ptCount val="1"/>
                <c:pt idx="0">
                  <c:v>Copertura</c:v>
                </c:pt>
              </c:strCache>
            </c:strRef>
          </c:tx>
          <c:spPr>
            <a:solidFill>
              <a:srgbClr val="004586"/>
            </a:solidFill>
            <a:ln w="25400">
              <a:noFill/>
            </a:ln>
          </c:spPr>
          <c:invertIfNegative val="0"/>
          <c:cat>
            <c:strRef>
              <c:f>'Dati per grafico Capofamiglia'!$A$53:$A$65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Capofamiglia'!$B$53:$B$65</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E51E-4CCA-9D88-18D578A0F27D}"/>
            </c:ext>
          </c:extLst>
        </c:ser>
        <c:ser>
          <c:idx val="1"/>
          <c:order val="1"/>
          <c:tx>
            <c:strRef>
              <c:f>'Dati per grafico Capofamiglia'!$C$52</c:f>
              <c:strCache>
                <c:ptCount val="1"/>
                <c:pt idx="0">
                  <c:v>Rischio Spese</c:v>
                </c:pt>
              </c:strCache>
            </c:strRef>
          </c:tx>
          <c:spPr>
            <a:solidFill>
              <a:srgbClr val="FF0000">
                <a:alpha val="65098"/>
              </a:srgbClr>
            </a:solidFill>
            <a:ln w="25400">
              <a:noFill/>
            </a:ln>
          </c:spPr>
          <c:invertIfNegative val="0"/>
          <c:cat>
            <c:strRef>
              <c:f>'Dati per grafico Capofamiglia'!$A$53:$A$65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Capofamiglia'!$C$53:$C$65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51E-4CCA-9D88-18D578A0F27D}"/>
            </c:ext>
          </c:extLst>
        </c:ser>
        <c:dLbls>
          <c:showLegendKey val="0"/>
          <c:showVal val="0"/>
          <c:showCatName val="0"/>
          <c:showSerName val="0"/>
          <c:showPercent val="0"/>
          <c:showBubbleSize val="0"/>
        </c:dLbls>
        <c:gapWidth val="100"/>
        <c:overlap val="100"/>
        <c:axId val="1259998175"/>
        <c:axId val="1"/>
      </c:barChart>
      <c:catAx>
        <c:axId val="125999817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59998175"/>
        <c:crossesAt val="1"/>
        <c:crossBetween val="between"/>
      </c:valAx>
      <c:spPr>
        <a:noFill/>
        <a:ln w="3175">
          <a:solidFill>
            <a:srgbClr val="B3B3B3"/>
          </a:solidFill>
          <a:prstDash val="solid"/>
        </a:ln>
      </c:spPr>
    </c:plotArea>
    <c:legend>
      <c:legendPos val="r"/>
      <c:layout>
        <c:manualLayout>
          <c:xMode val="edge"/>
          <c:yMode val="edge"/>
          <c:x val="8.8136366647285254E-3"/>
          <c:y val="1.6078007816726421E-2"/>
          <c:w val="0.96301250067745736"/>
          <c:h val="4.403804570300270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59321731280987"/>
          <c:y val="8.2386243255364242E-2"/>
          <c:w val="0.42178289272357578"/>
          <c:h val="0.82728139959325153"/>
        </c:manualLayout>
      </c:layout>
      <c:barChart>
        <c:barDir val="bar"/>
        <c:grouping val="percentStacked"/>
        <c:varyColors val="0"/>
        <c:ser>
          <c:idx val="0"/>
          <c:order val="0"/>
          <c:tx>
            <c:strRef>
              <c:f>'Dati per grafico Capofamiglia'!$B$37</c:f>
              <c:strCache>
                <c:ptCount val="1"/>
                <c:pt idx="0">
                  <c:v>Copertura</c:v>
                </c:pt>
              </c:strCache>
            </c:strRef>
          </c:tx>
          <c:spPr>
            <a:solidFill>
              <a:srgbClr val="004586"/>
            </a:solidFill>
            <a:ln w="25400">
              <a:noFill/>
            </a:ln>
          </c:spPr>
          <c:invertIfNegative val="0"/>
          <c:cat>
            <c:strRef>
              <c:f>'Dati per grafico Capofamiglia'!$A$38:$A$50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Capofamiglia'!$B$38:$B$50</c:f>
              <c:numCache>
                <c:formatCode>0</c:formatCode>
                <c:ptCount val="13"/>
                <c:pt idx="0">
                  <c:v>0</c:v>
                </c:pt>
                <c:pt idx="1">
                  <c:v>0</c:v>
                </c:pt>
                <c:pt idx="2" formatCode="General">
                  <c:v>0</c:v>
                </c:pt>
                <c:pt idx="3" formatCode="General">
                  <c:v>0</c:v>
                </c:pt>
                <c:pt idx="4" formatCode="General">
                  <c:v>0</c:v>
                </c:pt>
                <c:pt idx="5">
                  <c:v>0</c:v>
                </c:pt>
                <c:pt idx="6">
                  <c:v>0</c:v>
                </c:pt>
                <c:pt idx="7">
                  <c:v>0</c:v>
                </c:pt>
                <c:pt idx="8" formatCode="General">
                  <c:v>0</c:v>
                </c:pt>
                <c:pt idx="9" formatCode="General">
                  <c:v>0</c:v>
                </c:pt>
                <c:pt idx="10" formatCode="General">
                  <c:v>0</c:v>
                </c:pt>
                <c:pt idx="11" formatCode="General">
                  <c:v>0</c:v>
                </c:pt>
                <c:pt idx="12" formatCode="General">
                  <c:v>1</c:v>
                </c:pt>
              </c:numCache>
            </c:numRef>
          </c:val>
          <c:extLst>
            <c:ext xmlns:c16="http://schemas.microsoft.com/office/drawing/2014/chart" uri="{C3380CC4-5D6E-409C-BE32-E72D297353CC}">
              <c16:uniqueId val="{00000000-A72C-46ED-BE86-8458B8DF0914}"/>
            </c:ext>
          </c:extLst>
        </c:ser>
        <c:ser>
          <c:idx val="1"/>
          <c:order val="1"/>
          <c:tx>
            <c:strRef>
              <c:f>'Dati per grafico Capofamiglia'!$C$37</c:f>
              <c:strCache>
                <c:ptCount val="1"/>
                <c:pt idx="0">
                  <c:v>Rischio Spese</c:v>
                </c:pt>
              </c:strCache>
            </c:strRef>
          </c:tx>
          <c:spPr>
            <a:solidFill>
              <a:srgbClr val="FF420E"/>
            </a:solidFill>
            <a:ln w="25400">
              <a:noFill/>
            </a:ln>
          </c:spPr>
          <c:invertIfNegative val="0"/>
          <c:cat>
            <c:strRef>
              <c:f>'Dati per grafico Capofamiglia'!$A$38:$A$50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Capofamiglia'!$C$38:$C$50</c:f>
              <c:numCache>
                <c:formatCode>0</c:formatCode>
                <c:ptCount val="13"/>
                <c:pt idx="0">
                  <c:v>1</c:v>
                </c:pt>
                <c:pt idx="1">
                  <c:v>1</c:v>
                </c:pt>
                <c:pt idx="2" formatCode="General">
                  <c:v>1</c:v>
                </c:pt>
                <c:pt idx="3" formatCode="General">
                  <c:v>1</c:v>
                </c:pt>
                <c:pt idx="4" formatCode="General">
                  <c:v>1</c:v>
                </c:pt>
                <c:pt idx="5">
                  <c:v>1</c:v>
                </c:pt>
                <c:pt idx="6">
                  <c:v>1</c:v>
                </c:pt>
                <c:pt idx="7">
                  <c:v>1</c:v>
                </c:pt>
                <c:pt idx="8" formatCode="General">
                  <c:v>1</c:v>
                </c:pt>
                <c:pt idx="9" formatCode="General">
                  <c:v>1</c:v>
                </c:pt>
                <c:pt idx="10" formatCode="General">
                  <c:v>1</c:v>
                </c:pt>
                <c:pt idx="11" formatCode="General">
                  <c:v>1</c:v>
                </c:pt>
                <c:pt idx="12" formatCode="General">
                  <c:v>0</c:v>
                </c:pt>
              </c:numCache>
            </c:numRef>
          </c:val>
          <c:extLst>
            <c:ext xmlns:c16="http://schemas.microsoft.com/office/drawing/2014/chart" uri="{C3380CC4-5D6E-409C-BE32-E72D297353CC}">
              <c16:uniqueId val="{00000001-A72C-46ED-BE86-8458B8DF0914}"/>
            </c:ext>
          </c:extLst>
        </c:ser>
        <c:dLbls>
          <c:showLegendKey val="0"/>
          <c:showVal val="0"/>
          <c:showCatName val="0"/>
          <c:showSerName val="0"/>
          <c:showPercent val="0"/>
          <c:showBubbleSize val="0"/>
        </c:dLbls>
        <c:gapWidth val="100"/>
        <c:overlap val="100"/>
        <c:axId val="1263859855"/>
        <c:axId val="1"/>
      </c:barChart>
      <c:catAx>
        <c:axId val="126385985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3859855"/>
        <c:crossesAt val="1"/>
        <c:crossBetween val="between"/>
      </c:valAx>
      <c:spPr>
        <a:noFill/>
        <a:ln w="3175">
          <a:solidFill>
            <a:srgbClr val="B3B3B3"/>
          </a:solidFill>
          <a:prstDash val="solid"/>
        </a:ln>
      </c:spPr>
    </c:plotArea>
    <c:legend>
      <c:legendPos val="r"/>
      <c:layout>
        <c:manualLayout>
          <c:xMode val="edge"/>
          <c:yMode val="edge"/>
          <c:x val="1.2033920906031436E-2"/>
          <c:y val="2.0150503380787322E-2"/>
          <c:w val="0.96753725903658161"/>
          <c:h val="3.860409911996295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174020577156337"/>
          <c:y val="8.7677387363987808E-2"/>
          <c:w val="0.4138078220808214"/>
          <c:h val="0.82217044212948553"/>
        </c:manualLayout>
      </c:layout>
      <c:barChart>
        <c:barDir val="bar"/>
        <c:grouping val="percentStacked"/>
        <c:varyColors val="0"/>
        <c:ser>
          <c:idx val="0"/>
          <c:order val="0"/>
          <c:tx>
            <c:strRef>
              <c:f>'Dati per grafico Capofamiglia'!$B$52</c:f>
              <c:strCache>
                <c:ptCount val="1"/>
                <c:pt idx="0">
                  <c:v>Copertura</c:v>
                </c:pt>
              </c:strCache>
            </c:strRef>
          </c:tx>
          <c:spPr>
            <a:solidFill>
              <a:srgbClr val="004586"/>
            </a:solidFill>
            <a:ln w="25400">
              <a:noFill/>
            </a:ln>
          </c:spPr>
          <c:invertIfNegative val="0"/>
          <c:cat>
            <c:strRef>
              <c:f>'Dati per grafico Capofamiglia'!$A$53:$A$65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Capofamiglia'!$B$53:$B$65</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80C4-4C90-A679-C089F66B54BE}"/>
            </c:ext>
          </c:extLst>
        </c:ser>
        <c:ser>
          <c:idx val="1"/>
          <c:order val="1"/>
          <c:tx>
            <c:strRef>
              <c:f>'Dati per grafico Capofamiglia'!$C$52</c:f>
              <c:strCache>
                <c:ptCount val="1"/>
                <c:pt idx="0">
                  <c:v>Rischio Spese</c:v>
                </c:pt>
              </c:strCache>
            </c:strRef>
          </c:tx>
          <c:spPr>
            <a:solidFill>
              <a:srgbClr val="FF420E"/>
            </a:solidFill>
            <a:ln w="25400">
              <a:noFill/>
            </a:ln>
          </c:spPr>
          <c:invertIfNegative val="0"/>
          <c:cat>
            <c:strRef>
              <c:f>'Dati per grafico Capofamiglia'!$A$53:$A$65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Capofamiglia'!$C$53:$C$65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0C4-4C90-A679-C089F66B54BE}"/>
            </c:ext>
          </c:extLst>
        </c:ser>
        <c:dLbls>
          <c:showLegendKey val="0"/>
          <c:showVal val="0"/>
          <c:showCatName val="0"/>
          <c:showSerName val="0"/>
          <c:showPercent val="0"/>
          <c:showBubbleSize val="0"/>
        </c:dLbls>
        <c:gapWidth val="100"/>
        <c:overlap val="100"/>
        <c:axId val="1263857935"/>
        <c:axId val="1"/>
      </c:barChart>
      <c:catAx>
        <c:axId val="126385793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3857935"/>
        <c:crossesAt val="1"/>
        <c:crossBetween val="between"/>
      </c:valAx>
      <c:spPr>
        <a:noFill/>
        <a:ln w="3175">
          <a:solidFill>
            <a:srgbClr val="B3B3B3"/>
          </a:solidFill>
          <a:prstDash val="solid"/>
        </a:ln>
      </c:spPr>
    </c:plotArea>
    <c:legend>
      <c:legendPos val="r"/>
      <c:layout>
        <c:manualLayout>
          <c:xMode val="edge"/>
          <c:yMode val="edge"/>
          <c:x val="2.9286764219873515E-2"/>
          <c:y val="2.1023743235614199E-2"/>
          <c:w val="0.93847021549365384"/>
          <c:h val="4.403804570300270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0"/>
          <c:w val="0.88368214732400474"/>
          <c:h val="0.6333931851878436"/>
        </c:manualLayout>
      </c:layout>
      <c:barChart>
        <c:barDir val="col"/>
        <c:grouping val="percentStacked"/>
        <c:varyColors val="0"/>
        <c:ser>
          <c:idx val="0"/>
          <c:order val="0"/>
          <c:tx>
            <c:strRef>
              <c:f>'Calcoli Partner'!$S$26</c:f>
              <c:strCache>
                <c:ptCount val="1"/>
                <c:pt idx="0">
                  <c:v>AI</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518F-491B-AC7F-E19CF8DB0A3A}"/>
              </c:ext>
            </c:extLst>
          </c:dPt>
          <c:dPt>
            <c:idx val="1"/>
            <c:invertIfNegative val="0"/>
            <c:bubble3D val="0"/>
            <c:spPr>
              <a:solidFill>
                <a:srgbClr val="2F5291"/>
              </a:solidFill>
              <a:ln>
                <a:noFill/>
              </a:ln>
              <a:effectLst/>
            </c:spPr>
            <c:extLst>
              <c:ext xmlns:c16="http://schemas.microsoft.com/office/drawing/2014/chart" uri="{C3380CC4-5D6E-409C-BE32-E72D297353CC}">
                <c16:uniqueId val="{00000003-518F-491B-AC7F-E19CF8DB0A3A}"/>
              </c:ext>
            </c:extLst>
          </c:dPt>
          <c:dPt>
            <c:idx val="2"/>
            <c:invertIfNegative val="0"/>
            <c:bubble3D val="0"/>
            <c:spPr>
              <a:solidFill>
                <a:srgbClr val="4B77C5"/>
              </a:solidFill>
              <a:ln>
                <a:noFill/>
              </a:ln>
              <a:effectLst/>
            </c:spPr>
            <c:extLst>
              <c:ext xmlns:c16="http://schemas.microsoft.com/office/drawing/2014/chart" uri="{C3380CC4-5D6E-409C-BE32-E72D297353CC}">
                <c16:uniqueId val="{00000005-518F-491B-AC7F-E19CF8DB0A3A}"/>
              </c:ext>
            </c:extLst>
          </c:dPt>
          <c:dPt>
            <c:idx val="3"/>
            <c:invertIfNegative val="0"/>
            <c:bubble3D val="0"/>
            <c:spPr>
              <a:solidFill>
                <a:srgbClr val="4B77C5"/>
              </a:solidFill>
              <a:ln>
                <a:noFill/>
              </a:ln>
              <a:effectLst/>
            </c:spPr>
            <c:extLst>
              <c:ext xmlns:c16="http://schemas.microsoft.com/office/drawing/2014/chart" uri="{C3380CC4-5D6E-409C-BE32-E72D297353CC}">
                <c16:uniqueId val="{00000007-518F-491B-AC7F-E19CF8DB0A3A}"/>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Partner'!$S$27:$S$30</c:f>
              <c:numCache>
                <c:formatCode>#,##0</c:formatCode>
                <c:ptCount val="4"/>
                <c:pt idx="0">
                  <c:v>0</c:v>
                </c:pt>
                <c:pt idx="1">
                  <c:v>0</c:v>
                </c:pt>
                <c:pt idx="2">
                  <c:v>0</c:v>
                </c:pt>
                <c:pt idx="3">
                  <c:v>0</c:v>
                </c:pt>
              </c:numCache>
            </c:numRef>
          </c:val>
          <c:extLst>
            <c:ext xmlns:c16="http://schemas.microsoft.com/office/drawing/2014/chart" uri="{C3380CC4-5D6E-409C-BE32-E72D297353CC}">
              <c16:uniqueId val="{00000008-518F-491B-AC7F-E19CF8DB0A3A}"/>
            </c:ext>
          </c:extLst>
        </c:ser>
        <c:ser>
          <c:idx val="1"/>
          <c:order val="1"/>
          <c:tx>
            <c:strRef>
              <c:f>'Calcoli Partner'!$T$26</c:f>
              <c:strCache>
                <c:ptCount val="1"/>
                <c:pt idx="0">
                  <c:v>Rend. suppl. AI figli</c:v>
                </c:pt>
              </c:strCache>
            </c:strRef>
          </c:tx>
          <c:spPr>
            <a:solidFill>
              <a:srgbClr val="7D9CD5"/>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8F-491B-AC7F-E19CF8DB0A3A}"/>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8F-491B-AC7F-E19CF8DB0A3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Partner'!$T$27:$T$30</c:f>
              <c:numCache>
                <c:formatCode>#,##0</c:formatCode>
                <c:ptCount val="4"/>
                <c:pt idx="2">
                  <c:v>0</c:v>
                </c:pt>
              </c:numCache>
            </c:numRef>
          </c:val>
          <c:extLst>
            <c:ext xmlns:c16="http://schemas.microsoft.com/office/drawing/2014/chart" uri="{C3380CC4-5D6E-409C-BE32-E72D297353CC}">
              <c16:uniqueId val="{0000000B-518F-491B-AC7F-E19CF8DB0A3A}"/>
            </c:ext>
          </c:extLst>
        </c:ser>
        <c:ser>
          <c:idx val="2"/>
          <c:order val="2"/>
          <c:tx>
            <c:strRef>
              <c:f>'Calcoli Partner'!$U$26</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Partner'!$U$27:$U$30</c:f>
              <c:numCache>
                <c:formatCode>#,##0</c:formatCode>
                <c:ptCount val="4"/>
                <c:pt idx="2">
                  <c:v>0</c:v>
                </c:pt>
                <c:pt idx="3">
                  <c:v>0</c:v>
                </c:pt>
              </c:numCache>
            </c:numRef>
          </c:val>
          <c:extLst>
            <c:ext xmlns:c16="http://schemas.microsoft.com/office/drawing/2014/chart" uri="{C3380CC4-5D6E-409C-BE32-E72D297353CC}">
              <c16:uniqueId val="{0000000C-518F-491B-AC7F-E19CF8DB0A3A}"/>
            </c:ext>
          </c:extLst>
        </c:ser>
        <c:ser>
          <c:idx val="3"/>
          <c:order val="3"/>
          <c:tx>
            <c:strRef>
              <c:f>'Calcoli Partner'!$V$26</c:f>
              <c:strCache>
                <c:ptCount val="1"/>
                <c:pt idx="0">
                  <c:v>Rend. suppl. LPP figli</c:v>
                </c:pt>
              </c:strCache>
            </c:strRef>
          </c:tx>
          <c:spPr>
            <a:solidFill>
              <a:srgbClr val="ADEFED"/>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8F-491B-AC7F-E19CF8DB0A3A}"/>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Partner'!$V$27:$V$30</c:f>
              <c:numCache>
                <c:formatCode>#,##0</c:formatCode>
                <c:ptCount val="4"/>
                <c:pt idx="2">
                  <c:v>0</c:v>
                </c:pt>
              </c:numCache>
            </c:numRef>
          </c:val>
          <c:extLst>
            <c:ext xmlns:c16="http://schemas.microsoft.com/office/drawing/2014/chart" uri="{C3380CC4-5D6E-409C-BE32-E72D297353CC}">
              <c16:uniqueId val="{0000000E-518F-491B-AC7F-E19CF8DB0A3A}"/>
            </c:ext>
          </c:extLst>
        </c:ser>
        <c:ser>
          <c:idx val="4"/>
          <c:order val="4"/>
          <c:tx>
            <c:strRef>
              <c:f>'Calcoli Partner'!$W$26</c:f>
              <c:strCache>
                <c:ptCount val="1"/>
                <c:pt idx="0">
                  <c:v>Lacune</c:v>
                </c:pt>
              </c:strCache>
            </c:strRef>
          </c:tx>
          <c:spPr>
            <a:solidFill>
              <a:srgbClr val="FF0000">
                <a:alpha val="67059"/>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Partner'!$R$27:$R$30</c:f>
              <c:strCache>
                <c:ptCount val="4"/>
                <c:pt idx="0">
                  <c:v>Fabbisogno mensile</c:v>
                </c:pt>
                <c:pt idx="1">
                  <c:v>Malattia: I.G. - 720 gg.</c:v>
                </c:pt>
                <c:pt idx="2">
                  <c:v>Inv. con suppl. x figli &lt; 18/25 anni</c:v>
                </c:pt>
                <c:pt idx="3">
                  <c:v>Inv. (senza Figli)</c:v>
                </c:pt>
              </c:strCache>
            </c:strRef>
          </c:cat>
          <c:val>
            <c:numRef>
              <c:f>'Calcoli Partner'!$W$27:$W$30</c:f>
              <c:numCache>
                <c:formatCode>#,##0</c:formatCode>
                <c:ptCount val="4"/>
                <c:pt idx="1">
                  <c:v>0</c:v>
                </c:pt>
                <c:pt idx="2">
                  <c:v>0</c:v>
                </c:pt>
                <c:pt idx="3">
                  <c:v>0</c:v>
                </c:pt>
              </c:numCache>
            </c:numRef>
          </c:val>
          <c:extLst>
            <c:ext xmlns:c16="http://schemas.microsoft.com/office/drawing/2014/chart" uri="{C3380CC4-5D6E-409C-BE32-E72D297353CC}">
              <c16:uniqueId val="{0000000F-518F-491B-AC7F-E19CF8DB0A3A}"/>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59321731280987"/>
          <c:y val="7.7216177205088624E-2"/>
          <c:w val="0.42178289272357578"/>
          <c:h val="0.83245145900208406"/>
        </c:manualLayout>
      </c:layout>
      <c:barChart>
        <c:barDir val="bar"/>
        <c:grouping val="percentStacked"/>
        <c:varyColors val="0"/>
        <c:ser>
          <c:idx val="0"/>
          <c:order val="0"/>
          <c:tx>
            <c:strRef>
              <c:f>'Dati per grafico Partner'!$B$37</c:f>
              <c:strCache>
                <c:ptCount val="1"/>
                <c:pt idx="0">
                  <c:v>Copertura</c:v>
                </c:pt>
              </c:strCache>
            </c:strRef>
          </c:tx>
          <c:spPr>
            <a:solidFill>
              <a:srgbClr val="004586"/>
            </a:solidFill>
            <a:ln w="25400">
              <a:noFill/>
            </a:ln>
          </c:spPr>
          <c:invertIfNegative val="0"/>
          <c:cat>
            <c:strRef>
              <c:f>'Dati per grafico Partner'!$A$38:$A$50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Partner'!$B$38:$B$50</c:f>
              <c:numCache>
                <c:formatCode>0</c:formatCode>
                <c:ptCount val="13"/>
                <c:pt idx="0">
                  <c:v>0</c:v>
                </c:pt>
                <c:pt idx="1">
                  <c:v>0</c:v>
                </c:pt>
                <c:pt idx="2" formatCode="General">
                  <c:v>0</c:v>
                </c:pt>
                <c:pt idx="3" formatCode="General">
                  <c:v>0</c:v>
                </c:pt>
                <c:pt idx="4" formatCode="General">
                  <c:v>0</c:v>
                </c:pt>
                <c:pt idx="5">
                  <c:v>0</c:v>
                </c:pt>
                <c:pt idx="6">
                  <c:v>0</c:v>
                </c:pt>
                <c:pt idx="7">
                  <c:v>0</c:v>
                </c:pt>
                <c:pt idx="8" formatCode="General">
                  <c:v>0</c:v>
                </c:pt>
                <c:pt idx="9" formatCode="General">
                  <c:v>0</c:v>
                </c:pt>
                <c:pt idx="10" formatCode="General">
                  <c:v>0</c:v>
                </c:pt>
                <c:pt idx="11" formatCode="General">
                  <c:v>0</c:v>
                </c:pt>
                <c:pt idx="12" formatCode="General">
                  <c:v>1</c:v>
                </c:pt>
              </c:numCache>
            </c:numRef>
          </c:val>
          <c:extLst>
            <c:ext xmlns:c16="http://schemas.microsoft.com/office/drawing/2014/chart" uri="{C3380CC4-5D6E-409C-BE32-E72D297353CC}">
              <c16:uniqueId val="{00000000-70A9-47FF-BD3D-E0DCFE3E304A}"/>
            </c:ext>
          </c:extLst>
        </c:ser>
        <c:ser>
          <c:idx val="1"/>
          <c:order val="1"/>
          <c:tx>
            <c:strRef>
              <c:f>'Dati per grafico Partner'!$C$37</c:f>
              <c:strCache>
                <c:ptCount val="1"/>
                <c:pt idx="0">
                  <c:v>Rischio Spese</c:v>
                </c:pt>
              </c:strCache>
            </c:strRef>
          </c:tx>
          <c:spPr>
            <a:solidFill>
              <a:srgbClr val="FF420E"/>
            </a:solidFill>
            <a:ln w="25400">
              <a:noFill/>
            </a:ln>
          </c:spPr>
          <c:invertIfNegative val="0"/>
          <c:cat>
            <c:strRef>
              <c:f>'Dati per grafico Partner'!$A$38:$A$50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Partner'!$C$38:$C$50</c:f>
              <c:numCache>
                <c:formatCode>0</c:formatCode>
                <c:ptCount val="13"/>
                <c:pt idx="0">
                  <c:v>1</c:v>
                </c:pt>
                <c:pt idx="1">
                  <c:v>1</c:v>
                </c:pt>
                <c:pt idx="2" formatCode="General">
                  <c:v>1</c:v>
                </c:pt>
                <c:pt idx="3" formatCode="General">
                  <c:v>1</c:v>
                </c:pt>
                <c:pt idx="4" formatCode="General">
                  <c:v>1</c:v>
                </c:pt>
                <c:pt idx="5">
                  <c:v>1</c:v>
                </c:pt>
                <c:pt idx="6">
                  <c:v>1</c:v>
                </c:pt>
                <c:pt idx="7">
                  <c:v>1</c:v>
                </c:pt>
                <c:pt idx="8" formatCode="General">
                  <c:v>1</c:v>
                </c:pt>
                <c:pt idx="9" formatCode="General">
                  <c:v>1</c:v>
                </c:pt>
                <c:pt idx="10" formatCode="General">
                  <c:v>1</c:v>
                </c:pt>
                <c:pt idx="11" formatCode="General">
                  <c:v>1</c:v>
                </c:pt>
                <c:pt idx="12" formatCode="General">
                  <c:v>0</c:v>
                </c:pt>
              </c:numCache>
            </c:numRef>
          </c:val>
          <c:extLst>
            <c:ext xmlns:c16="http://schemas.microsoft.com/office/drawing/2014/chart" uri="{C3380CC4-5D6E-409C-BE32-E72D297353CC}">
              <c16:uniqueId val="{00000001-70A9-47FF-BD3D-E0DCFE3E304A}"/>
            </c:ext>
          </c:extLst>
        </c:ser>
        <c:dLbls>
          <c:showLegendKey val="0"/>
          <c:showVal val="0"/>
          <c:showCatName val="0"/>
          <c:showSerName val="0"/>
          <c:showPercent val="0"/>
          <c:showBubbleSize val="0"/>
        </c:dLbls>
        <c:gapWidth val="100"/>
        <c:overlap val="100"/>
        <c:axId val="1260002495"/>
        <c:axId val="1"/>
      </c:barChart>
      <c:catAx>
        <c:axId val="126000249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0002495"/>
        <c:crossesAt val="1"/>
        <c:crossBetween val="between"/>
      </c:valAx>
      <c:spPr>
        <a:noFill/>
        <a:ln w="3175">
          <a:solidFill>
            <a:srgbClr val="B3B3B3"/>
          </a:solidFill>
          <a:prstDash val="solid"/>
        </a:ln>
      </c:spPr>
    </c:plotArea>
    <c:legend>
      <c:legendPos val="r"/>
      <c:layout>
        <c:manualLayout>
          <c:xMode val="edge"/>
          <c:yMode val="edge"/>
          <c:x val="1.9822892189748694E-2"/>
          <c:y val="1.6983165251213354E-2"/>
          <c:w val="0.94560087386267633"/>
          <c:h val="3.860409911996295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174020577156337"/>
          <c:y val="7.4747127273208397E-2"/>
          <c:w val="0.4138078220808214"/>
          <c:h val="0.83510061513541201"/>
        </c:manualLayout>
      </c:layout>
      <c:barChart>
        <c:barDir val="bar"/>
        <c:grouping val="percentStacked"/>
        <c:varyColors val="0"/>
        <c:ser>
          <c:idx val="0"/>
          <c:order val="0"/>
          <c:tx>
            <c:strRef>
              <c:f>'Dati per grafico Partner'!$B$52</c:f>
              <c:strCache>
                <c:ptCount val="1"/>
                <c:pt idx="0">
                  <c:v>Copertura</c:v>
                </c:pt>
              </c:strCache>
            </c:strRef>
          </c:tx>
          <c:spPr>
            <a:solidFill>
              <a:srgbClr val="004586"/>
            </a:solidFill>
            <a:ln w="25400">
              <a:noFill/>
            </a:ln>
          </c:spPr>
          <c:invertIfNegative val="0"/>
          <c:cat>
            <c:strRef>
              <c:f>'Dati per grafico Partner'!$A$53:$A$65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Partner'!$B$53:$B$65</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28BB-4308-844C-2EEA4B545BF8}"/>
            </c:ext>
          </c:extLst>
        </c:ser>
        <c:ser>
          <c:idx val="1"/>
          <c:order val="1"/>
          <c:tx>
            <c:strRef>
              <c:f>'Dati per grafico Partner'!$C$52</c:f>
              <c:strCache>
                <c:ptCount val="1"/>
                <c:pt idx="0">
                  <c:v>Rischio Spese</c:v>
                </c:pt>
              </c:strCache>
            </c:strRef>
          </c:tx>
          <c:spPr>
            <a:solidFill>
              <a:srgbClr val="FF420E"/>
            </a:solidFill>
            <a:ln w="25400">
              <a:noFill/>
            </a:ln>
          </c:spPr>
          <c:invertIfNegative val="0"/>
          <c:cat>
            <c:strRef>
              <c:f>'Dati per grafico Partner'!$A$53:$A$65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Partner'!$C$53:$C$65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8BB-4308-844C-2EEA4B545BF8}"/>
            </c:ext>
          </c:extLst>
        </c:ser>
        <c:dLbls>
          <c:showLegendKey val="0"/>
          <c:showVal val="0"/>
          <c:showCatName val="0"/>
          <c:showSerName val="0"/>
          <c:showPercent val="0"/>
          <c:showBubbleSize val="0"/>
        </c:dLbls>
        <c:gapWidth val="100"/>
        <c:overlap val="100"/>
        <c:axId val="1259995775"/>
        <c:axId val="1"/>
      </c:barChart>
      <c:catAx>
        <c:axId val="125999577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59995775"/>
        <c:crossesAt val="1"/>
        <c:crossBetween val="between"/>
      </c:valAx>
      <c:spPr>
        <a:noFill/>
        <a:ln w="3175">
          <a:solidFill>
            <a:srgbClr val="B3B3B3"/>
          </a:solidFill>
          <a:prstDash val="solid"/>
        </a:ln>
      </c:spPr>
    </c:plotArea>
    <c:legend>
      <c:legendPos val="r"/>
      <c:layout>
        <c:manualLayout>
          <c:xMode val="edge"/>
          <c:yMode val="edge"/>
          <c:x val="2.5251770963349691E-2"/>
          <c:y val="1.7260837638840197E-2"/>
          <c:w val="0.9300411163538107"/>
          <c:h val="4.403804570300270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59321731280987"/>
          <c:y val="7.8617956511260245E-2"/>
          <c:w val="0.42178289272357578"/>
          <c:h val="0.83104968984883065"/>
        </c:manualLayout>
      </c:layout>
      <c:barChart>
        <c:barDir val="bar"/>
        <c:grouping val="percentStacked"/>
        <c:varyColors val="0"/>
        <c:ser>
          <c:idx val="0"/>
          <c:order val="0"/>
          <c:tx>
            <c:strRef>
              <c:f>'Dati per grafico Figlio 1'!$B$37</c:f>
              <c:strCache>
                <c:ptCount val="1"/>
                <c:pt idx="0">
                  <c:v>Copertura</c:v>
                </c:pt>
              </c:strCache>
            </c:strRef>
          </c:tx>
          <c:spPr>
            <a:solidFill>
              <a:srgbClr val="004586"/>
            </a:solidFill>
            <a:ln w="25400">
              <a:noFill/>
            </a:ln>
          </c:spPr>
          <c:invertIfNegative val="0"/>
          <c:cat>
            <c:strRef>
              <c:f>'Dati per grafico Figlio 1'!$A$38:$A$50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1'!$B$38:$B$50</c:f>
              <c:numCache>
                <c:formatCode>0</c:formatCode>
                <c:ptCount val="13"/>
                <c:pt idx="0">
                  <c:v>0</c:v>
                </c:pt>
                <c:pt idx="1">
                  <c:v>0</c:v>
                </c:pt>
                <c:pt idx="2" formatCode="General">
                  <c:v>0</c:v>
                </c:pt>
                <c:pt idx="3" formatCode="General">
                  <c:v>0</c:v>
                </c:pt>
                <c:pt idx="4" formatCode="General">
                  <c:v>0</c:v>
                </c:pt>
                <c:pt idx="5">
                  <c:v>0</c:v>
                </c:pt>
                <c:pt idx="6">
                  <c:v>0</c:v>
                </c:pt>
                <c:pt idx="7">
                  <c:v>0</c:v>
                </c:pt>
                <c:pt idx="8" formatCode="General">
                  <c:v>0</c:v>
                </c:pt>
                <c:pt idx="9" formatCode="General">
                  <c:v>0</c:v>
                </c:pt>
                <c:pt idx="10" formatCode="General">
                  <c:v>0</c:v>
                </c:pt>
                <c:pt idx="11" formatCode="General">
                  <c:v>0</c:v>
                </c:pt>
                <c:pt idx="12" formatCode="General">
                  <c:v>1</c:v>
                </c:pt>
              </c:numCache>
            </c:numRef>
          </c:val>
          <c:extLst>
            <c:ext xmlns:c16="http://schemas.microsoft.com/office/drawing/2014/chart" uri="{C3380CC4-5D6E-409C-BE32-E72D297353CC}">
              <c16:uniqueId val="{00000000-0E0F-4B11-85D4-1D6075F3A25F}"/>
            </c:ext>
          </c:extLst>
        </c:ser>
        <c:ser>
          <c:idx val="1"/>
          <c:order val="1"/>
          <c:tx>
            <c:strRef>
              <c:f>'Dati per grafico Figlio 1'!$C$37</c:f>
              <c:strCache>
                <c:ptCount val="1"/>
                <c:pt idx="0">
                  <c:v>Rischio Spese</c:v>
                </c:pt>
              </c:strCache>
            </c:strRef>
          </c:tx>
          <c:spPr>
            <a:solidFill>
              <a:srgbClr val="FF420E"/>
            </a:solidFill>
            <a:ln w="25400">
              <a:noFill/>
            </a:ln>
          </c:spPr>
          <c:invertIfNegative val="0"/>
          <c:cat>
            <c:strRef>
              <c:f>'Dati per grafico Figlio 1'!$A$38:$A$50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1'!$C$38:$C$50</c:f>
              <c:numCache>
                <c:formatCode>0</c:formatCode>
                <c:ptCount val="13"/>
                <c:pt idx="0">
                  <c:v>1</c:v>
                </c:pt>
                <c:pt idx="1">
                  <c:v>1</c:v>
                </c:pt>
                <c:pt idx="2" formatCode="General">
                  <c:v>1</c:v>
                </c:pt>
                <c:pt idx="3" formatCode="General">
                  <c:v>1</c:v>
                </c:pt>
                <c:pt idx="4" formatCode="General">
                  <c:v>1</c:v>
                </c:pt>
                <c:pt idx="5">
                  <c:v>1</c:v>
                </c:pt>
                <c:pt idx="6">
                  <c:v>1</c:v>
                </c:pt>
                <c:pt idx="7">
                  <c:v>1</c:v>
                </c:pt>
                <c:pt idx="8" formatCode="General">
                  <c:v>1</c:v>
                </c:pt>
                <c:pt idx="9" formatCode="General">
                  <c:v>1</c:v>
                </c:pt>
                <c:pt idx="10" formatCode="General">
                  <c:v>1</c:v>
                </c:pt>
                <c:pt idx="11" formatCode="General">
                  <c:v>1</c:v>
                </c:pt>
                <c:pt idx="12" formatCode="General">
                  <c:v>0</c:v>
                </c:pt>
              </c:numCache>
            </c:numRef>
          </c:val>
          <c:extLst>
            <c:ext xmlns:c16="http://schemas.microsoft.com/office/drawing/2014/chart" uri="{C3380CC4-5D6E-409C-BE32-E72D297353CC}">
              <c16:uniqueId val="{00000001-0E0F-4B11-85D4-1D6075F3A25F}"/>
            </c:ext>
          </c:extLst>
        </c:ser>
        <c:dLbls>
          <c:showLegendKey val="0"/>
          <c:showVal val="0"/>
          <c:showCatName val="0"/>
          <c:showSerName val="0"/>
          <c:showPercent val="0"/>
          <c:showBubbleSize val="0"/>
        </c:dLbls>
        <c:gapWidth val="100"/>
        <c:overlap val="100"/>
        <c:axId val="1260003455"/>
        <c:axId val="1"/>
      </c:barChart>
      <c:catAx>
        <c:axId val="126000345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0003455"/>
        <c:crossesAt val="1"/>
        <c:crossBetween val="between"/>
      </c:valAx>
      <c:spPr>
        <a:noFill/>
        <a:ln w="3175">
          <a:solidFill>
            <a:srgbClr val="B3B3B3"/>
          </a:solidFill>
          <a:prstDash val="solid"/>
        </a:ln>
      </c:spPr>
    </c:plotArea>
    <c:legend>
      <c:legendPos val="r"/>
      <c:layout>
        <c:manualLayout>
          <c:xMode val="edge"/>
          <c:yMode val="edge"/>
          <c:x val="1.9822892189748694E-2"/>
          <c:y val="2.0935945738525037E-2"/>
          <c:w val="0.94998815089745725"/>
          <c:h val="3.860409911996295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174020577156337"/>
          <c:y val="8.3295004822035626E-2"/>
          <c:w val="0.4138078220808214"/>
          <c:h val="0.82655270598652808"/>
        </c:manualLayout>
      </c:layout>
      <c:barChart>
        <c:barDir val="bar"/>
        <c:grouping val="percentStacked"/>
        <c:varyColors val="0"/>
        <c:ser>
          <c:idx val="0"/>
          <c:order val="0"/>
          <c:tx>
            <c:strRef>
              <c:f>'Dati per grafico Figlio 1'!$B$52</c:f>
              <c:strCache>
                <c:ptCount val="1"/>
                <c:pt idx="0">
                  <c:v>Copertura</c:v>
                </c:pt>
              </c:strCache>
            </c:strRef>
          </c:tx>
          <c:spPr>
            <a:solidFill>
              <a:srgbClr val="004586"/>
            </a:solidFill>
            <a:ln w="25400">
              <a:noFill/>
            </a:ln>
          </c:spPr>
          <c:invertIfNegative val="0"/>
          <c:cat>
            <c:strRef>
              <c:f>'Dati per grafico Figlio 1'!$A$53:$A$65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1'!$B$53:$B$65</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F5BD-4114-A7D8-82396D1A8860}"/>
            </c:ext>
          </c:extLst>
        </c:ser>
        <c:ser>
          <c:idx val="1"/>
          <c:order val="1"/>
          <c:tx>
            <c:strRef>
              <c:f>'Dati per grafico Figlio 1'!$C$52</c:f>
              <c:strCache>
                <c:ptCount val="1"/>
                <c:pt idx="0">
                  <c:v>Rischio Spese</c:v>
                </c:pt>
              </c:strCache>
            </c:strRef>
          </c:tx>
          <c:spPr>
            <a:solidFill>
              <a:srgbClr val="FF420E"/>
            </a:solidFill>
            <a:ln w="25400">
              <a:noFill/>
            </a:ln>
          </c:spPr>
          <c:invertIfNegative val="0"/>
          <c:cat>
            <c:strRef>
              <c:f>'Dati per grafico Figlio 1'!$A$53:$A$65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1'!$C$53:$C$65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5BD-4114-A7D8-82396D1A8860}"/>
            </c:ext>
          </c:extLst>
        </c:ser>
        <c:dLbls>
          <c:showLegendKey val="0"/>
          <c:showVal val="0"/>
          <c:showCatName val="0"/>
          <c:showSerName val="0"/>
          <c:showPercent val="0"/>
          <c:showBubbleSize val="0"/>
        </c:dLbls>
        <c:gapWidth val="100"/>
        <c:overlap val="100"/>
        <c:axId val="1260007775"/>
        <c:axId val="1"/>
      </c:barChart>
      <c:catAx>
        <c:axId val="126000777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0007775"/>
        <c:crossesAt val="1"/>
        <c:crossBetween val="between"/>
      </c:valAx>
      <c:spPr>
        <a:noFill/>
        <a:ln w="3175">
          <a:solidFill>
            <a:srgbClr val="B3B3B3"/>
          </a:solidFill>
          <a:prstDash val="solid"/>
        </a:ln>
      </c:spPr>
    </c:plotArea>
    <c:legend>
      <c:legendPos val="r"/>
      <c:layout>
        <c:manualLayout>
          <c:xMode val="edge"/>
          <c:yMode val="edge"/>
          <c:x val="2.1179991202802225E-2"/>
          <c:y val="2.0304333793785038E-2"/>
          <c:w val="0.94247423869372338"/>
          <c:h val="4.403804570300270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59321731280987"/>
          <c:y val="8.115370824548572E-2"/>
          <c:w val="0.42178289272357578"/>
          <c:h val="0.8285139767365145"/>
        </c:manualLayout>
      </c:layout>
      <c:barChart>
        <c:barDir val="bar"/>
        <c:grouping val="percentStacked"/>
        <c:varyColors val="0"/>
        <c:ser>
          <c:idx val="0"/>
          <c:order val="0"/>
          <c:tx>
            <c:strRef>
              <c:f>'Dati per grafico Figlio 2'!$B$37</c:f>
              <c:strCache>
                <c:ptCount val="1"/>
                <c:pt idx="0">
                  <c:v>Copertura</c:v>
                </c:pt>
              </c:strCache>
            </c:strRef>
          </c:tx>
          <c:spPr>
            <a:solidFill>
              <a:srgbClr val="004586"/>
            </a:solidFill>
            <a:ln w="25400">
              <a:noFill/>
            </a:ln>
          </c:spPr>
          <c:invertIfNegative val="0"/>
          <c:cat>
            <c:strRef>
              <c:f>'Dati per grafico Figlio 2'!$A$38:$A$50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2'!$B$38:$B$50</c:f>
              <c:numCache>
                <c:formatCode>0</c:formatCode>
                <c:ptCount val="13"/>
                <c:pt idx="0">
                  <c:v>0</c:v>
                </c:pt>
                <c:pt idx="1">
                  <c:v>0</c:v>
                </c:pt>
                <c:pt idx="2" formatCode="General">
                  <c:v>0</c:v>
                </c:pt>
                <c:pt idx="3" formatCode="General">
                  <c:v>0</c:v>
                </c:pt>
                <c:pt idx="4" formatCode="General">
                  <c:v>0</c:v>
                </c:pt>
                <c:pt idx="5">
                  <c:v>0</c:v>
                </c:pt>
                <c:pt idx="6">
                  <c:v>0</c:v>
                </c:pt>
                <c:pt idx="7">
                  <c:v>0</c:v>
                </c:pt>
                <c:pt idx="8" formatCode="General">
                  <c:v>0</c:v>
                </c:pt>
                <c:pt idx="9" formatCode="General">
                  <c:v>0</c:v>
                </c:pt>
                <c:pt idx="10" formatCode="General">
                  <c:v>0</c:v>
                </c:pt>
                <c:pt idx="11" formatCode="General">
                  <c:v>0</c:v>
                </c:pt>
                <c:pt idx="12" formatCode="General">
                  <c:v>1</c:v>
                </c:pt>
              </c:numCache>
            </c:numRef>
          </c:val>
          <c:extLst>
            <c:ext xmlns:c16="http://schemas.microsoft.com/office/drawing/2014/chart" uri="{C3380CC4-5D6E-409C-BE32-E72D297353CC}">
              <c16:uniqueId val="{00000000-148B-4E76-BCFE-A175828411EC}"/>
            </c:ext>
          </c:extLst>
        </c:ser>
        <c:ser>
          <c:idx val="1"/>
          <c:order val="1"/>
          <c:tx>
            <c:strRef>
              <c:f>'Dati per grafico Figlio 2'!$C$37</c:f>
              <c:strCache>
                <c:ptCount val="1"/>
                <c:pt idx="0">
                  <c:v>Rischio Spese</c:v>
                </c:pt>
              </c:strCache>
            </c:strRef>
          </c:tx>
          <c:spPr>
            <a:solidFill>
              <a:srgbClr val="FF420E"/>
            </a:solidFill>
            <a:ln w="25400">
              <a:noFill/>
            </a:ln>
          </c:spPr>
          <c:invertIfNegative val="0"/>
          <c:cat>
            <c:strRef>
              <c:f>'Dati per grafico Figlio 2'!$A$38:$A$50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2'!$C$38:$C$50</c:f>
              <c:numCache>
                <c:formatCode>0</c:formatCode>
                <c:ptCount val="13"/>
                <c:pt idx="0">
                  <c:v>1</c:v>
                </c:pt>
                <c:pt idx="1">
                  <c:v>1</c:v>
                </c:pt>
                <c:pt idx="2" formatCode="General">
                  <c:v>1</c:v>
                </c:pt>
                <c:pt idx="3" formatCode="General">
                  <c:v>1</c:v>
                </c:pt>
                <c:pt idx="4" formatCode="General">
                  <c:v>1</c:v>
                </c:pt>
                <c:pt idx="5">
                  <c:v>1</c:v>
                </c:pt>
                <c:pt idx="6">
                  <c:v>1</c:v>
                </c:pt>
                <c:pt idx="7">
                  <c:v>1</c:v>
                </c:pt>
                <c:pt idx="8" formatCode="General">
                  <c:v>1</c:v>
                </c:pt>
                <c:pt idx="9" formatCode="General">
                  <c:v>1</c:v>
                </c:pt>
                <c:pt idx="10" formatCode="General">
                  <c:v>1</c:v>
                </c:pt>
                <c:pt idx="11" formatCode="General">
                  <c:v>1</c:v>
                </c:pt>
                <c:pt idx="12" formatCode="General">
                  <c:v>0</c:v>
                </c:pt>
              </c:numCache>
            </c:numRef>
          </c:val>
          <c:extLst>
            <c:ext xmlns:c16="http://schemas.microsoft.com/office/drawing/2014/chart" uri="{C3380CC4-5D6E-409C-BE32-E72D297353CC}">
              <c16:uniqueId val="{00000001-148B-4E76-BCFE-A175828411EC}"/>
            </c:ext>
          </c:extLst>
        </c:ser>
        <c:dLbls>
          <c:showLegendKey val="0"/>
          <c:showVal val="0"/>
          <c:showCatName val="0"/>
          <c:showSerName val="0"/>
          <c:showPercent val="0"/>
          <c:showBubbleSize val="0"/>
        </c:dLbls>
        <c:gapWidth val="100"/>
        <c:overlap val="100"/>
        <c:axId val="1264483455"/>
        <c:axId val="1"/>
      </c:barChart>
      <c:catAx>
        <c:axId val="126448345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483455"/>
        <c:crossesAt val="1"/>
        <c:crossBetween val="between"/>
      </c:valAx>
      <c:spPr>
        <a:noFill/>
        <a:ln w="3175">
          <a:solidFill>
            <a:srgbClr val="B3B3B3"/>
          </a:solidFill>
          <a:prstDash val="solid"/>
        </a:ln>
      </c:spPr>
    </c:plotArea>
    <c:legend>
      <c:legendPos val="r"/>
      <c:layout>
        <c:manualLayout>
          <c:xMode val="edge"/>
          <c:yMode val="edge"/>
          <c:x val="1.4812791724966894E-2"/>
          <c:y val="2.1027590130468666E-2"/>
          <c:w val="0.95540392394450457"/>
          <c:h val="3.860409911996295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174020577156337"/>
          <c:y val="7.8777537656294555E-2"/>
          <c:w val="0.4138078220808214"/>
          <c:h val="0.83107018782485675"/>
        </c:manualLayout>
      </c:layout>
      <c:barChart>
        <c:barDir val="bar"/>
        <c:grouping val="percentStacked"/>
        <c:varyColors val="0"/>
        <c:ser>
          <c:idx val="0"/>
          <c:order val="0"/>
          <c:tx>
            <c:strRef>
              <c:f>'Dati per grafico Figlio 2'!$B$52</c:f>
              <c:strCache>
                <c:ptCount val="1"/>
                <c:pt idx="0">
                  <c:v>Copertura</c:v>
                </c:pt>
              </c:strCache>
            </c:strRef>
          </c:tx>
          <c:spPr>
            <a:solidFill>
              <a:srgbClr val="004586"/>
            </a:solidFill>
            <a:ln w="25400">
              <a:noFill/>
            </a:ln>
          </c:spPr>
          <c:invertIfNegative val="0"/>
          <c:cat>
            <c:strRef>
              <c:f>'Dati per grafico Figlio 2'!$A$53:$A$65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2'!$B$53:$B$65</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D01-4DB1-8F26-618FD4D62717}"/>
            </c:ext>
          </c:extLst>
        </c:ser>
        <c:ser>
          <c:idx val="1"/>
          <c:order val="1"/>
          <c:tx>
            <c:strRef>
              <c:f>'Dati per grafico Figlio 2'!$C$52</c:f>
              <c:strCache>
                <c:ptCount val="1"/>
                <c:pt idx="0">
                  <c:v>Rischio Spese</c:v>
                </c:pt>
              </c:strCache>
            </c:strRef>
          </c:tx>
          <c:spPr>
            <a:solidFill>
              <a:srgbClr val="FF420E"/>
            </a:solidFill>
            <a:ln w="25400">
              <a:noFill/>
            </a:ln>
          </c:spPr>
          <c:invertIfNegative val="0"/>
          <c:cat>
            <c:strRef>
              <c:f>'Dati per grafico Figlio 2'!$A$53:$A$65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2'!$C$53:$C$65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D01-4DB1-8F26-618FD4D62717}"/>
            </c:ext>
          </c:extLst>
        </c:ser>
        <c:dLbls>
          <c:showLegendKey val="0"/>
          <c:showVal val="0"/>
          <c:showCatName val="0"/>
          <c:showSerName val="0"/>
          <c:showPercent val="0"/>
          <c:showBubbleSize val="0"/>
        </c:dLbls>
        <c:gapWidth val="100"/>
        <c:overlap val="100"/>
        <c:axId val="1264469055"/>
        <c:axId val="1"/>
      </c:barChart>
      <c:catAx>
        <c:axId val="126446905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469055"/>
        <c:crossesAt val="1"/>
        <c:crossBetween val="between"/>
      </c:valAx>
      <c:spPr>
        <a:noFill/>
        <a:ln w="3175">
          <a:solidFill>
            <a:srgbClr val="B3B3B3"/>
          </a:solidFill>
          <a:prstDash val="solid"/>
        </a:ln>
      </c:spPr>
    </c:plotArea>
    <c:legend>
      <c:legendPos val="r"/>
      <c:layout>
        <c:manualLayout>
          <c:xMode val="edge"/>
          <c:yMode val="edge"/>
          <c:x val="2.5437781282352495E-2"/>
          <c:y val="1.8181600024225877E-2"/>
          <c:w val="0.94673202877327389"/>
          <c:h val="4.403804570300270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59321731280987"/>
          <c:y val="7.375557095958625E-2"/>
          <c:w val="0.42178289272357578"/>
          <c:h val="0.83591204081519355"/>
        </c:manualLayout>
      </c:layout>
      <c:barChart>
        <c:barDir val="bar"/>
        <c:grouping val="percentStacked"/>
        <c:varyColors val="0"/>
        <c:ser>
          <c:idx val="0"/>
          <c:order val="0"/>
          <c:tx>
            <c:strRef>
              <c:f>'Dati per grafico Figlio 3'!$B$37</c:f>
              <c:strCache>
                <c:ptCount val="1"/>
                <c:pt idx="0">
                  <c:v>Copertura</c:v>
                </c:pt>
              </c:strCache>
            </c:strRef>
          </c:tx>
          <c:spPr>
            <a:solidFill>
              <a:srgbClr val="004586"/>
            </a:solidFill>
            <a:ln w="25400">
              <a:noFill/>
            </a:ln>
          </c:spPr>
          <c:invertIfNegative val="0"/>
          <c:cat>
            <c:strRef>
              <c:f>'Dati per grafico Figlio 3'!$A$38:$A$50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3'!$B$38:$B$50</c:f>
              <c:numCache>
                <c:formatCode>0</c:formatCode>
                <c:ptCount val="13"/>
                <c:pt idx="0">
                  <c:v>0</c:v>
                </c:pt>
                <c:pt idx="1">
                  <c:v>0</c:v>
                </c:pt>
                <c:pt idx="2" formatCode="General">
                  <c:v>0</c:v>
                </c:pt>
                <c:pt idx="3" formatCode="General">
                  <c:v>0</c:v>
                </c:pt>
                <c:pt idx="4" formatCode="General">
                  <c:v>0</c:v>
                </c:pt>
                <c:pt idx="5">
                  <c:v>0</c:v>
                </c:pt>
                <c:pt idx="6">
                  <c:v>0</c:v>
                </c:pt>
                <c:pt idx="7">
                  <c:v>0</c:v>
                </c:pt>
                <c:pt idx="8" formatCode="General">
                  <c:v>0</c:v>
                </c:pt>
                <c:pt idx="9" formatCode="General">
                  <c:v>0</c:v>
                </c:pt>
                <c:pt idx="10" formatCode="General">
                  <c:v>0</c:v>
                </c:pt>
                <c:pt idx="11" formatCode="General">
                  <c:v>0</c:v>
                </c:pt>
                <c:pt idx="12" formatCode="General">
                  <c:v>1</c:v>
                </c:pt>
              </c:numCache>
            </c:numRef>
          </c:val>
          <c:extLst>
            <c:ext xmlns:c16="http://schemas.microsoft.com/office/drawing/2014/chart" uri="{C3380CC4-5D6E-409C-BE32-E72D297353CC}">
              <c16:uniqueId val="{00000000-BAA2-4D81-BF87-596022523AEC}"/>
            </c:ext>
          </c:extLst>
        </c:ser>
        <c:ser>
          <c:idx val="1"/>
          <c:order val="1"/>
          <c:tx>
            <c:strRef>
              <c:f>'Dati per grafico Figlio 3'!$C$37</c:f>
              <c:strCache>
                <c:ptCount val="1"/>
                <c:pt idx="0">
                  <c:v>Rischio Spese</c:v>
                </c:pt>
              </c:strCache>
            </c:strRef>
          </c:tx>
          <c:spPr>
            <a:solidFill>
              <a:srgbClr val="FF420E"/>
            </a:solidFill>
            <a:ln w="25400">
              <a:noFill/>
            </a:ln>
          </c:spPr>
          <c:invertIfNegative val="0"/>
          <c:cat>
            <c:strRef>
              <c:f>'Dati per grafico Figlio 3'!$A$38:$A$50</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3'!$C$38:$C$50</c:f>
              <c:numCache>
                <c:formatCode>0</c:formatCode>
                <c:ptCount val="13"/>
                <c:pt idx="0">
                  <c:v>1</c:v>
                </c:pt>
                <c:pt idx="1">
                  <c:v>1</c:v>
                </c:pt>
                <c:pt idx="2" formatCode="General">
                  <c:v>1</c:v>
                </c:pt>
                <c:pt idx="3" formatCode="General">
                  <c:v>1</c:v>
                </c:pt>
                <c:pt idx="4" formatCode="General">
                  <c:v>1</c:v>
                </c:pt>
                <c:pt idx="5">
                  <c:v>1</c:v>
                </c:pt>
                <c:pt idx="6">
                  <c:v>1</c:v>
                </c:pt>
                <c:pt idx="7">
                  <c:v>1</c:v>
                </c:pt>
                <c:pt idx="8" formatCode="General">
                  <c:v>1</c:v>
                </c:pt>
                <c:pt idx="9" formatCode="General">
                  <c:v>1</c:v>
                </c:pt>
                <c:pt idx="10" formatCode="General">
                  <c:v>1</c:v>
                </c:pt>
                <c:pt idx="11" formatCode="General">
                  <c:v>1</c:v>
                </c:pt>
                <c:pt idx="12" formatCode="General">
                  <c:v>0</c:v>
                </c:pt>
              </c:numCache>
            </c:numRef>
          </c:val>
          <c:extLst>
            <c:ext xmlns:c16="http://schemas.microsoft.com/office/drawing/2014/chart" uri="{C3380CC4-5D6E-409C-BE32-E72D297353CC}">
              <c16:uniqueId val="{00000001-BAA2-4D81-BF87-596022523AEC}"/>
            </c:ext>
          </c:extLst>
        </c:ser>
        <c:dLbls>
          <c:showLegendKey val="0"/>
          <c:showVal val="0"/>
          <c:showCatName val="0"/>
          <c:showSerName val="0"/>
          <c:showPercent val="0"/>
          <c:showBubbleSize val="0"/>
        </c:dLbls>
        <c:gapWidth val="100"/>
        <c:overlap val="100"/>
        <c:axId val="1264470975"/>
        <c:axId val="1"/>
      </c:barChart>
      <c:catAx>
        <c:axId val="126447097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470975"/>
        <c:crossesAt val="1"/>
        <c:crossBetween val="between"/>
      </c:valAx>
      <c:spPr>
        <a:noFill/>
        <a:ln w="3175">
          <a:solidFill>
            <a:srgbClr val="B3B3B3"/>
          </a:solidFill>
          <a:prstDash val="solid"/>
        </a:ln>
      </c:spPr>
    </c:plotArea>
    <c:legend>
      <c:legendPos val="r"/>
      <c:layout>
        <c:manualLayout>
          <c:xMode val="edge"/>
          <c:yMode val="edge"/>
          <c:x val="6.0092700390162405E-3"/>
          <c:y val="1.8504745928253328E-2"/>
          <c:w val="0.95980568478747985"/>
          <c:h val="3.860409911996295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174020577156337"/>
          <c:y val="8.0383684177165876E-2"/>
          <c:w val="0.4138078220808214"/>
          <c:h val="0.82946409935190013"/>
        </c:manualLayout>
      </c:layout>
      <c:barChart>
        <c:barDir val="bar"/>
        <c:grouping val="percentStacked"/>
        <c:varyColors val="0"/>
        <c:ser>
          <c:idx val="0"/>
          <c:order val="0"/>
          <c:tx>
            <c:strRef>
              <c:f>'Dati per grafico Figlio 3'!$B$52</c:f>
              <c:strCache>
                <c:ptCount val="1"/>
                <c:pt idx="0">
                  <c:v>Copertura</c:v>
                </c:pt>
              </c:strCache>
            </c:strRef>
          </c:tx>
          <c:spPr>
            <a:solidFill>
              <a:srgbClr val="004586"/>
            </a:solidFill>
            <a:ln w="25400">
              <a:noFill/>
            </a:ln>
          </c:spPr>
          <c:invertIfNegative val="0"/>
          <c:cat>
            <c:strRef>
              <c:f>'Dati per grafico Figlio 3'!$A$53:$A$65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3'!$B$53:$B$65</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F2A7-41E7-AC18-DC97C7FC9D8F}"/>
            </c:ext>
          </c:extLst>
        </c:ser>
        <c:ser>
          <c:idx val="1"/>
          <c:order val="1"/>
          <c:tx>
            <c:strRef>
              <c:f>'Dati per grafico Figlio 3'!$C$52</c:f>
              <c:strCache>
                <c:ptCount val="1"/>
                <c:pt idx="0">
                  <c:v>Rischio Spese</c:v>
                </c:pt>
              </c:strCache>
            </c:strRef>
          </c:tx>
          <c:spPr>
            <a:solidFill>
              <a:srgbClr val="FF420E"/>
            </a:solidFill>
            <a:ln w="25400">
              <a:noFill/>
            </a:ln>
          </c:spPr>
          <c:invertIfNegative val="0"/>
          <c:cat>
            <c:strRef>
              <c:f>'Dati per grafico Figlio 3'!$A$53:$A$65</c:f>
              <c:strCache>
                <c:ptCount val="13"/>
                <c:pt idx="0">
                  <c:v>Altro </c:v>
                </c:pt>
                <c:pt idx="1">
                  <c:v>Medicianli fuorilista </c:v>
                </c:pt>
                <c:pt idx="2">
                  <c:v>Medicina alternativa </c:v>
                </c:pt>
                <c:pt idx="3">
                  <c:v>Trasporto e salvataggio </c:v>
                </c:pt>
                <c:pt idx="4">
                  <c:v>Prevenzione ginecologica </c:v>
                </c:pt>
                <c:pt idx="5">
                  <c:v>Chec-kup</c:v>
                </c:pt>
                <c:pt idx="6">
                  <c:v>Assistenza domiciliare </c:v>
                </c:pt>
                <c:pt idx="7">
                  <c:v>Occhiali e Lenti a contatto </c:v>
                </c:pt>
                <c:pt idx="8">
                  <c:v>Fitness</c:v>
                </c:pt>
                <c:pt idx="9">
                  <c:v>Dentistista </c:v>
                </c:pt>
                <c:pt idx="10">
                  <c:v>Privata/semiprivata</c:v>
                </c:pt>
                <c:pt idx="11">
                  <c:v>Libera scelta medici e ospedali </c:v>
                </c:pt>
                <c:pt idx="12">
                  <c:v>Base (LAMAL)</c:v>
                </c:pt>
              </c:strCache>
            </c:strRef>
          </c:cat>
          <c:val>
            <c:numRef>
              <c:f>'Dati per grafico Figlio 3'!$C$53:$C$65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2A7-41E7-AC18-DC97C7FC9D8F}"/>
            </c:ext>
          </c:extLst>
        </c:ser>
        <c:dLbls>
          <c:showLegendKey val="0"/>
          <c:showVal val="0"/>
          <c:showCatName val="0"/>
          <c:showSerName val="0"/>
          <c:showPercent val="0"/>
          <c:showBubbleSize val="0"/>
        </c:dLbls>
        <c:gapWidth val="100"/>
        <c:overlap val="100"/>
        <c:axId val="1264472415"/>
        <c:axId val="1"/>
      </c:barChart>
      <c:catAx>
        <c:axId val="1264472415"/>
        <c:scaling>
          <c:orientation val="minMax"/>
        </c:scaling>
        <c:delete val="0"/>
        <c:axPos val="l"/>
        <c:numFmt formatCode="General" sourceLinked="1"/>
        <c:majorTickMark val="out"/>
        <c:minorTickMark val="none"/>
        <c:tickLblPos val="nextTo"/>
        <c:spPr>
          <a:ln w="3175">
            <a:solidFill>
              <a:srgbClr val="B3B3B3"/>
            </a:solidFill>
            <a:prstDash val="solid"/>
          </a:ln>
        </c:spPr>
        <c:txPr>
          <a:bodyPr rot="0" vert="horz"/>
          <a:lstStyle/>
          <a:p>
            <a:pPr>
              <a:defRPr sz="930" b="0" i="0" u="none" strike="noStrike" baseline="0">
                <a:solidFill>
                  <a:srgbClr val="000000"/>
                </a:solidFill>
                <a:latin typeface="Arial Narrow" panose="020B0606020202030204" pitchFamily="34" charset="0"/>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4472415"/>
        <c:crossesAt val="1"/>
        <c:crossBetween val="between"/>
      </c:valAx>
      <c:spPr>
        <a:noFill/>
        <a:ln w="3175">
          <a:solidFill>
            <a:srgbClr val="B3B3B3"/>
          </a:solidFill>
          <a:prstDash val="solid"/>
        </a:ln>
      </c:spPr>
    </c:plotArea>
    <c:legend>
      <c:legendPos val="r"/>
      <c:layout>
        <c:manualLayout>
          <c:xMode val="edge"/>
          <c:yMode val="edge"/>
          <c:x val="2.5437781282352495E-2"/>
          <c:y val="1.7803670910759399E-2"/>
          <c:w val="0.9297008684550726"/>
          <c:h val="4.4038045703002709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EEEEEE"/>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'COSE-PATR'!$C$6</c:f>
              <c:strCache>
                <c:ptCount val="1"/>
                <c:pt idx="0">
                  <c:v>SOMMA ASS. ATTUALE</c:v>
                </c:pt>
              </c:strCache>
            </c:strRef>
          </c:tx>
          <c:spPr>
            <a:solidFill>
              <a:schemeClr val="accent1"/>
            </a:solidFill>
            <a:ln>
              <a:noFill/>
            </a:ln>
            <a:effectLst/>
          </c:spPr>
          <c:invertIfNegative val="0"/>
          <c:cat>
            <c:multiLvlStrRef>
              <c:f>'COSE-PATR'!$A$7:$B$30</c:f>
              <c:multiLvlStrCache>
                <c:ptCount val="24"/>
                <c:lvl>
                  <c:pt idx="0">
                    <c:v>Incendio/Natura</c:v>
                  </c:pt>
                  <c:pt idx="1">
                    <c:v>Danni acque</c:v>
                  </c:pt>
                  <c:pt idx="2">
                    <c:v>Rottura vetri</c:v>
                  </c:pt>
                  <c:pt idx="3">
                    <c:v>Furto</c:v>
                  </c:pt>
                  <c:pt idx="4">
                    <c:v>RC Stabili</c:v>
                  </c:pt>
                  <c:pt idx="5">
                    <c:v>RC Privata</c:v>
                  </c:pt>
                  <c:pt idx="6">
                    <c:v>Incendio/Natura</c:v>
                  </c:pt>
                  <c:pt idx="7">
                    <c:v>Danni acque</c:v>
                  </c:pt>
                  <c:pt idx="8">
                    <c:v>Rottura vetri</c:v>
                  </c:pt>
                  <c:pt idx="9">
                    <c:v>Furto</c:v>
                  </c:pt>
                  <c:pt idx="10">
                    <c:v>All-risk</c:v>
                  </c:pt>
                  <c:pt idx="11">
                    <c:v>Privata/famiglia</c:v>
                  </c:pt>
                  <c:pt idx="12">
                    <c:v>Circolazione</c:v>
                  </c:pt>
                  <c:pt idx="13">
                    <c:v>Medica</c:v>
                  </c:pt>
                  <c:pt idx="14">
                    <c:v>RC V.M.</c:v>
                  </c:pt>
                  <c:pt idx="15">
                    <c:v>Casco Parziale</c:v>
                  </c:pt>
                  <c:pt idx="16">
                    <c:v>Collisione</c:v>
                  </c:pt>
                  <c:pt idx="17">
                    <c:v>Occupanti</c:v>
                  </c:pt>
                  <c:pt idx="18">
                    <c:v>Assistance</c:v>
                  </c:pt>
                  <c:pt idx="19">
                    <c:v>RC V.M.</c:v>
                  </c:pt>
                  <c:pt idx="20">
                    <c:v>Casco Parziale</c:v>
                  </c:pt>
                  <c:pt idx="21">
                    <c:v>Collisione</c:v>
                  </c:pt>
                  <c:pt idx="22">
                    <c:v>Occupanti</c:v>
                  </c:pt>
                  <c:pt idx="23">
                    <c:v>Assistance</c:v>
                  </c:pt>
                </c:lvl>
                <c:lvl>
                  <c:pt idx="0">
                    <c:v>Assicurazione stabili </c:v>
                  </c:pt>
                  <c:pt idx="5">
                    <c:v>Economia Domestica e RC               </c:v>
                  </c:pt>
                  <c:pt idx="11">
                    <c:v>Protezione giuridica </c:v>
                  </c:pt>
                  <c:pt idx="14">
                    <c:v>Assicurazioni auto </c:v>
                  </c:pt>
                  <c:pt idx="19">
                    <c:v>Assicurazioni auto </c:v>
                  </c:pt>
                </c:lvl>
              </c:multiLvlStrCache>
            </c:multiLvlStrRef>
          </c:cat>
          <c:val>
            <c:numRef>
              <c:f>'COSE-PATR'!$C$7:$C$30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DAA5-4790-9C8C-632C7AB4432E}"/>
            </c:ext>
          </c:extLst>
        </c:ser>
        <c:ser>
          <c:idx val="1"/>
          <c:order val="1"/>
          <c:tx>
            <c:strRef>
              <c:f>'COSE-PATR'!$D$6</c:f>
              <c:strCache>
                <c:ptCount val="1"/>
                <c:pt idx="0">
                  <c:v>Lacuna di copertura</c:v>
                </c:pt>
              </c:strCache>
            </c:strRef>
          </c:tx>
          <c:spPr>
            <a:solidFill>
              <a:schemeClr val="accent2"/>
            </a:solidFill>
            <a:ln>
              <a:noFill/>
            </a:ln>
            <a:effectLst/>
          </c:spPr>
          <c:invertIfNegative val="0"/>
          <c:cat>
            <c:multiLvlStrRef>
              <c:f>'COSE-PATR'!$A$7:$B$30</c:f>
              <c:multiLvlStrCache>
                <c:ptCount val="24"/>
                <c:lvl>
                  <c:pt idx="0">
                    <c:v>Incendio/Natura</c:v>
                  </c:pt>
                  <c:pt idx="1">
                    <c:v>Danni acque</c:v>
                  </c:pt>
                  <c:pt idx="2">
                    <c:v>Rottura vetri</c:v>
                  </c:pt>
                  <c:pt idx="3">
                    <c:v>Furto</c:v>
                  </c:pt>
                  <c:pt idx="4">
                    <c:v>RC Stabili</c:v>
                  </c:pt>
                  <c:pt idx="5">
                    <c:v>RC Privata</c:v>
                  </c:pt>
                  <c:pt idx="6">
                    <c:v>Incendio/Natura</c:v>
                  </c:pt>
                  <c:pt idx="7">
                    <c:v>Danni acque</c:v>
                  </c:pt>
                  <c:pt idx="8">
                    <c:v>Rottura vetri</c:v>
                  </c:pt>
                  <c:pt idx="9">
                    <c:v>Furto</c:v>
                  </c:pt>
                  <c:pt idx="10">
                    <c:v>All-risk</c:v>
                  </c:pt>
                  <c:pt idx="11">
                    <c:v>Privata/famiglia</c:v>
                  </c:pt>
                  <c:pt idx="12">
                    <c:v>Circolazione</c:v>
                  </c:pt>
                  <c:pt idx="13">
                    <c:v>Medica</c:v>
                  </c:pt>
                  <c:pt idx="14">
                    <c:v>RC V.M.</c:v>
                  </c:pt>
                  <c:pt idx="15">
                    <c:v>Casco Parziale</c:v>
                  </c:pt>
                  <c:pt idx="16">
                    <c:v>Collisione</c:v>
                  </c:pt>
                  <c:pt idx="17">
                    <c:v>Occupanti</c:v>
                  </c:pt>
                  <c:pt idx="18">
                    <c:v>Assistance</c:v>
                  </c:pt>
                  <c:pt idx="19">
                    <c:v>RC V.M.</c:v>
                  </c:pt>
                  <c:pt idx="20">
                    <c:v>Casco Parziale</c:v>
                  </c:pt>
                  <c:pt idx="21">
                    <c:v>Collisione</c:v>
                  </c:pt>
                  <c:pt idx="22">
                    <c:v>Occupanti</c:v>
                  </c:pt>
                  <c:pt idx="23">
                    <c:v>Assistance</c:v>
                  </c:pt>
                </c:lvl>
                <c:lvl>
                  <c:pt idx="0">
                    <c:v>Assicurazione stabili </c:v>
                  </c:pt>
                  <c:pt idx="5">
                    <c:v>Economia Domestica e RC               </c:v>
                  </c:pt>
                  <c:pt idx="11">
                    <c:v>Protezione giuridica </c:v>
                  </c:pt>
                  <c:pt idx="14">
                    <c:v>Assicurazioni auto </c:v>
                  </c:pt>
                  <c:pt idx="19">
                    <c:v>Assicurazioni auto </c:v>
                  </c:pt>
                </c:lvl>
              </c:multiLvlStrCache>
            </c:multiLvlStrRef>
          </c:cat>
          <c:val>
            <c:numRef>
              <c:f>'COSE-PATR'!$D$7:$D$30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DAA5-4790-9C8C-632C7AB4432E}"/>
            </c:ext>
          </c:extLst>
        </c:ser>
        <c:dLbls>
          <c:showLegendKey val="0"/>
          <c:showVal val="0"/>
          <c:showCatName val="0"/>
          <c:showSerName val="0"/>
          <c:showPercent val="0"/>
          <c:showBubbleSize val="0"/>
        </c:dLbls>
        <c:gapWidth val="150"/>
        <c:overlap val="100"/>
        <c:axId val="2028317600"/>
        <c:axId val="2028292160"/>
      </c:barChart>
      <c:catAx>
        <c:axId val="202831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2028292160"/>
        <c:crosses val="autoZero"/>
        <c:auto val="1"/>
        <c:lblAlgn val="ctr"/>
        <c:lblOffset val="100"/>
        <c:noMultiLvlLbl val="0"/>
      </c:catAx>
      <c:valAx>
        <c:axId val="2028292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202831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CH"/>
    </a:p>
  </c:txPr>
  <c:printSettings>
    <c:headerFooter/>
    <c:pageMargins b="0.75" l="0.7" r="0.7" t="0.75" header="0.3" footer="0.3"/>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82982231933044"/>
          <c:y val="8.525149190110827E-2"/>
          <c:w val="0.63435346497918121"/>
          <c:h val="0.87519476945177266"/>
        </c:manualLayout>
      </c:layout>
      <c:barChart>
        <c:barDir val="bar"/>
        <c:grouping val="percentStacked"/>
        <c:varyColors val="0"/>
        <c:ser>
          <c:idx val="0"/>
          <c:order val="0"/>
          <c:tx>
            <c:strRef>
              <c:f>'KMU-Dati per grafico'!$K$35</c:f>
              <c:strCache>
                <c:ptCount val="1"/>
                <c:pt idx="0">
                  <c:v>Somma ass. ATTUALE</c:v>
                </c:pt>
              </c:strCache>
            </c:strRef>
          </c:tx>
          <c:spPr>
            <a:solidFill>
              <a:srgbClr val="4472C4"/>
            </a:solidFill>
            <a:ln w="25400">
              <a:noFill/>
            </a:ln>
          </c:spPr>
          <c:invertIfNegative val="0"/>
          <c:cat>
            <c:multiLvlStrRef>
              <c:f>'KMU-Dati per grafico'!$I$36:$J$65</c:f>
              <c:multiLvlStrCache>
                <c:ptCount val="30"/>
                <c:lvl>
                  <c:pt idx="0">
                    <c:v>Altro</c:v>
                  </c:pt>
                  <c:pt idx="1">
                    <c:v>Infortuni Clienti</c:v>
                  </c:pt>
                  <c:pt idx="2">
                    <c:v>Impianti ITG/EED</c:v>
                  </c:pt>
                  <c:pt idx="3">
                    <c:v>Cyber</c:v>
                  </c:pt>
                  <c:pt idx="4">
                    <c:v>Casco macchine</c:v>
                  </c:pt>
                  <c:pt idx="5">
                    <c:v>Montaggio</c:v>
                  </c:pt>
                  <c:pt idx="6">
                    <c:v>Macchine</c:v>
                  </c:pt>
                  <c:pt idx="7">
                    <c:v>LPP</c:v>
                  </c:pt>
                  <c:pt idx="8">
                    <c:v>P.G. Malattia</c:v>
                  </c:pt>
                  <c:pt idx="9">
                    <c:v>Compl.Lainf</c:v>
                  </c:pt>
                  <c:pt idx="10">
                    <c:v>Lanif</c:v>
                  </c:pt>
                  <c:pt idx="11">
                    <c:v>Invalidità</c:v>
                  </c:pt>
                  <c:pt idx="12">
                    <c:v>Decesso</c:v>
                  </c:pt>
                  <c:pt idx="13">
                    <c:v>Contrattuale</c:v>
                  </c:pt>
                  <c:pt idx="14">
                    <c:v>Extracontrattuale</c:v>
                  </c:pt>
                  <c:pt idx="15">
                    <c:v>Stabile</c:v>
                  </c:pt>
                  <c:pt idx="16">
                    <c:v>Professionale</c:v>
                  </c:pt>
                  <c:pt idx="17">
                    <c:v>Impresa</c:v>
                  </c:pt>
                  <c:pt idx="18">
                    <c:v>Trasporti (RC)</c:v>
                  </c:pt>
                  <c:pt idx="19">
                    <c:v>Trasporti(Cose)</c:v>
                  </c:pt>
                  <c:pt idx="20">
                    <c:v>Danni di ripercussione</c:v>
                  </c:pt>
                  <c:pt idx="21">
                    <c:v>Perdita di esercizio</c:v>
                  </c:pt>
                  <c:pt idx="22">
                    <c:v>Furto</c:v>
                  </c:pt>
                  <c:pt idx="23">
                    <c:v>Rottura vetri</c:v>
                  </c:pt>
                  <c:pt idx="24">
                    <c:v>Danni acque</c:v>
                  </c:pt>
                  <c:pt idx="25">
                    <c:v>Incendio/Natura</c:v>
                  </c:pt>
                  <c:pt idx="26">
                    <c:v>Furto</c:v>
                  </c:pt>
                  <c:pt idx="27">
                    <c:v>Rottura vetri</c:v>
                  </c:pt>
                  <c:pt idx="28">
                    <c:v>Danni acque</c:v>
                  </c:pt>
                  <c:pt idx="29">
                    <c:v>Incendio/Natura</c:v>
                  </c:pt>
                </c:lvl>
                <c:lvl>
                  <c:pt idx="0">
                    <c:v>Diverse</c:v>
                  </c:pt>
                  <c:pt idx="2">
                    <c:v>Assicurazioni tecniche</c:v>
                  </c:pt>
                  <c:pt idx="7">
                    <c:v>Personale</c:v>
                  </c:pt>
                  <c:pt idx="11">
                    <c:v>Dirigenti/soci</c:v>
                  </c:pt>
                  <c:pt idx="13">
                    <c:v>Protezione Giuridica</c:v>
                  </c:pt>
                  <c:pt idx="15">
                    <c:v>Responsabilità Civile</c:v>
                  </c:pt>
                  <c:pt idx="18">
                    <c:v>Trasp.</c:v>
                  </c:pt>
                  <c:pt idx="20">
                    <c:v>Beni mobili</c:v>
                  </c:pt>
                  <c:pt idx="26">
                    <c:v>Stabili</c:v>
                  </c:pt>
                </c:lvl>
              </c:multiLvlStrCache>
            </c:multiLvlStrRef>
          </c:cat>
          <c:val>
            <c:numRef>
              <c:f>'KMU-Dati per grafico'!$K$36:$K$65</c:f>
              <c:numCache>
                <c:formatCode>General</c:formatCode>
                <c:ptCount val="30"/>
                <c:pt idx="0">
                  <c:v>0</c:v>
                </c:pt>
                <c:pt idx="1">
                  <c:v>0</c:v>
                </c:pt>
                <c:pt idx="2">
                  <c:v>0</c:v>
                </c:pt>
                <c:pt idx="3">
                  <c:v>0</c:v>
                </c:pt>
                <c:pt idx="4">
                  <c:v>0</c:v>
                </c:pt>
                <c:pt idx="5">
                  <c:v>0</c:v>
                </c:pt>
                <c:pt idx="6">
                  <c:v>0</c:v>
                </c:pt>
                <c:pt idx="7">
                  <c:v>40000</c:v>
                </c:pt>
                <c:pt idx="8">
                  <c:v>40000</c:v>
                </c:pt>
                <c:pt idx="9">
                  <c:v>40000</c:v>
                </c:pt>
                <c:pt idx="10">
                  <c:v>40000</c:v>
                </c:pt>
                <c:pt idx="11">
                  <c:v>0</c:v>
                </c:pt>
                <c:pt idx="12">
                  <c:v>0</c:v>
                </c:pt>
                <c:pt idx="13">
                  <c:v>0</c:v>
                </c:pt>
                <c:pt idx="14">
                  <c:v>0</c:v>
                </c:pt>
                <c:pt idx="15">
                  <c:v>0</c:v>
                </c:pt>
                <c:pt idx="16">
                  <c:v>0</c:v>
                </c:pt>
                <c:pt idx="17">
                  <c:v>1000000</c:v>
                </c:pt>
                <c:pt idx="18">
                  <c:v>0</c:v>
                </c:pt>
                <c:pt idx="19">
                  <c:v>0</c:v>
                </c:pt>
                <c:pt idx="20">
                  <c:v>100000</c:v>
                </c:pt>
                <c:pt idx="21">
                  <c:v>50000</c:v>
                </c:pt>
                <c:pt idx="22">
                  <c:v>20000</c:v>
                </c:pt>
                <c:pt idx="23">
                  <c:v>5000</c:v>
                </c:pt>
                <c:pt idx="24">
                  <c:v>40000</c:v>
                </c:pt>
                <c:pt idx="25">
                  <c:v>40000</c:v>
                </c:pt>
                <c:pt idx="26">
                  <c:v>10000</c:v>
                </c:pt>
                <c:pt idx="27">
                  <c:v>5000</c:v>
                </c:pt>
                <c:pt idx="28">
                  <c:v>100000</c:v>
                </c:pt>
                <c:pt idx="29">
                  <c:v>100000</c:v>
                </c:pt>
              </c:numCache>
            </c:numRef>
          </c:val>
          <c:extLst>
            <c:ext xmlns:c16="http://schemas.microsoft.com/office/drawing/2014/chart" uri="{C3380CC4-5D6E-409C-BE32-E72D297353CC}">
              <c16:uniqueId val="{00000000-9DB9-429E-9772-B5A0F33A7173}"/>
            </c:ext>
          </c:extLst>
        </c:ser>
        <c:ser>
          <c:idx val="1"/>
          <c:order val="1"/>
          <c:tx>
            <c:strRef>
              <c:f>'KMU-Dati per grafico'!$L$35</c:f>
              <c:strCache>
                <c:ptCount val="1"/>
                <c:pt idx="0">
                  <c:v>RISCHIO FINANZ. ATTUALE:</c:v>
                </c:pt>
              </c:strCache>
            </c:strRef>
          </c:tx>
          <c:spPr>
            <a:solidFill>
              <a:srgbClr val="FF0000"/>
            </a:solidFill>
            <a:ln w="25400">
              <a:noFill/>
            </a:ln>
          </c:spPr>
          <c:invertIfNegative val="0"/>
          <c:cat>
            <c:multiLvlStrRef>
              <c:f>'KMU-Dati per grafico'!$I$36:$J$65</c:f>
              <c:multiLvlStrCache>
                <c:ptCount val="30"/>
                <c:lvl>
                  <c:pt idx="0">
                    <c:v>Altro</c:v>
                  </c:pt>
                  <c:pt idx="1">
                    <c:v>Infortuni Clienti</c:v>
                  </c:pt>
                  <c:pt idx="2">
                    <c:v>Impianti ITG/EED</c:v>
                  </c:pt>
                  <c:pt idx="3">
                    <c:v>Cyber</c:v>
                  </c:pt>
                  <c:pt idx="4">
                    <c:v>Casco macchine</c:v>
                  </c:pt>
                  <c:pt idx="5">
                    <c:v>Montaggio</c:v>
                  </c:pt>
                  <c:pt idx="6">
                    <c:v>Macchine</c:v>
                  </c:pt>
                  <c:pt idx="7">
                    <c:v>LPP</c:v>
                  </c:pt>
                  <c:pt idx="8">
                    <c:v>P.G. Malattia</c:v>
                  </c:pt>
                  <c:pt idx="9">
                    <c:v>Compl.Lainf</c:v>
                  </c:pt>
                  <c:pt idx="10">
                    <c:v>Lanif</c:v>
                  </c:pt>
                  <c:pt idx="11">
                    <c:v>Invalidità</c:v>
                  </c:pt>
                  <c:pt idx="12">
                    <c:v>Decesso</c:v>
                  </c:pt>
                  <c:pt idx="13">
                    <c:v>Contrattuale</c:v>
                  </c:pt>
                  <c:pt idx="14">
                    <c:v>Extracontrattuale</c:v>
                  </c:pt>
                  <c:pt idx="15">
                    <c:v>Stabile</c:v>
                  </c:pt>
                  <c:pt idx="16">
                    <c:v>Professionale</c:v>
                  </c:pt>
                  <c:pt idx="17">
                    <c:v>Impresa</c:v>
                  </c:pt>
                  <c:pt idx="18">
                    <c:v>Trasporti (RC)</c:v>
                  </c:pt>
                  <c:pt idx="19">
                    <c:v>Trasporti(Cose)</c:v>
                  </c:pt>
                  <c:pt idx="20">
                    <c:v>Danni di ripercussione</c:v>
                  </c:pt>
                  <c:pt idx="21">
                    <c:v>Perdita di esercizio</c:v>
                  </c:pt>
                  <c:pt idx="22">
                    <c:v>Furto</c:v>
                  </c:pt>
                  <c:pt idx="23">
                    <c:v>Rottura vetri</c:v>
                  </c:pt>
                  <c:pt idx="24">
                    <c:v>Danni acque</c:v>
                  </c:pt>
                  <c:pt idx="25">
                    <c:v>Incendio/Natura</c:v>
                  </c:pt>
                  <c:pt idx="26">
                    <c:v>Furto</c:v>
                  </c:pt>
                  <c:pt idx="27">
                    <c:v>Rottura vetri</c:v>
                  </c:pt>
                  <c:pt idx="28">
                    <c:v>Danni acque</c:v>
                  </c:pt>
                  <c:pt idx="29">
                    <c:v>Incendio/Natura</c:v>
                  </c:pt>
                </c:lvl>
                <c:lvl>
                  <c:pt idx="0">
                    <c:v>Diverse</c:v>
                  </c:pt>
                  <c:pt idx="2">
                    <c:v>Assicurazioni tecniche</c:v>
                  </c:pt>
                  <c:pt idx="7">
                    <c:v>Personale</c:v>
                  </c:pt>
                  <c:pt idx="11">
                    <c:v>Dirigenti/soci</c:v>
                  </c:pt>
                  <c:pt idx="13">
                    <c:v>Protezione Giuridica</c:v>
                  </c:pt>
                  <c:pt idx="15">
                    <c:v>Responsabilità Civile</c:v>
                  </c:pt>
                  <c:pt idx="18">
                    <c:v>Trasp.</c:v>
                  </c:pt>
                  <c:pt idx="20">
                    <c:v>Beni mobili</c:v>
                  </c:pt>
                  <c:pt idx="26">
                    <c:v>Stabili</c:v>
                  </c:pt>
                </c:lvl>
              </c:multiLvlStrCache>
            </c:multiLvlStrRef>
          </c:cat>
          <c:val>
            <c:numRef>
              <c:f>'KMU-Dati per grafico'!$L$36:$L$65</c:f>
              <c:numCache>
                <c:formatCode>General</c:formatCode>
                <c:ptCount val="30"/>
                <c:pt idx="0">
                  <c:v>0</c:v>
                </c:pt>
                <c:pt idx="1">
                  <c:v>0</c:v>
                </c:pt>
                <c:pt idx="2">
                  <c:v>60000</c:v>
                </c:pt>
                <c:pt idx="3">
                  <c:v>40000</c:v>
                </c:pt>
                <c:pt idx="4">
                  <c:v>40000</c:v>
                </c:pt>
                <c:pt idx="5">
                  <c:v>50000</c:v>
                </c:pt>
                <c:pt idx="6">
                  <c:v>60000</c:v>
                </c:pt>
                <c:pt idx="7">
                  <c:v>0</c:v>
                </c:pt>
                <c:pt idx="8">
                  <c:v>0</c:v>
                </c:pt>
                <c:pt idx="9">
                  <c:v>0</c:v>
                </c:pt>
                <c:pt idx="10">
                  <c:v>0</c:v>
                </c:pt>
                <c:pt idx="11">
                  <c:v>200000</c:v>
                </c:pt>
                <c:pt idx="12">
                  <c:v>200000</c:v>
                </c:pt>
                <c:pt idx="13">
                  <c:v>0</c:v>
                </c:pt>
                <c:pt idx="14">
                  <c:v>250000</c:v>
                </c:pt>
                <c:pt idx="15">
                  <c:v>1000000</c:v>
                </c:pt>
                <c:pt idx="16">
                  <c:v>0</c:v>
                </c:pt>
                <c:pt idx="17">
                  <c:v>0</c:v>
                </c:pt>
                <c:pt idx="18">
                  <c:v>0</c:v>
                </c:pt>
                <c:pt idx="20">
                  <c:v>0</c:v>
                </c:pt>
                <c:pt idx="21">
                  <c:v>0</c:v>
                </c:pt>
                <c:pt idx="22">
                  <c:v>0</c:v>
                </c:pt>
                <c:pt idx="23">
                  <c:v>0</c:v>
                </c:pt>
                <c:pt idx="24">
                  <c:v>10000</c:v>
                </c:pt>
                <c:pt idx="25">
                  <c:v>10000</c:v>
                </c:pt>
                <c:pt idx="26">
                  <c:v>10000</c:v>
                </c:pt>
                <c:pt idx="27">
                  <c:v>5000</c:v>
                </c:pt>
                <c:pt idx="28">
                  <c:v>400000</c:v>
                </c:pt>
                <c:pt idx="29">
                  <c:v>400000</c:v>
                </c:pt>
              </c:numCache>
            </c:numRef>
          </c:val>
          <c:extLst>
            <c:ext xmlns:c16="http://schemas.microsoft.com/office/drawing/2014/chart" uri="{C3380CC4-5D6E-409C-BE32-E72D297353CC}">
              <c16:uniqueId val="{00000001-9DB9-429E-9772-B5A0F33A7173}"/>
            </c:ext>
          </c:extLst>
        </c:ser>
        <c:dLbls>
          <c:showLegendKey val="0"/>
          <c:showVal val="0"/>
          <c:showCatName val="0"/>
          <c:showSerName val="0"/>
          <c:showPercent val="0"/>
          <c:showBubbleSize val="0"/>
        </c:dLbls>
        <c:gapWidth val="150"/>
        <c:overlap val="100"/>
        <c:axId val="600395743"/>
        <c:axId val="1"/>
      </c:barChart>
      <c:catAx>
        <c:axId val="6003957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600395743"/>
        <c:crosses val="autoZero"/>
        <c:crossBetween val="between"/>
      </c:valAx>
      <c:spPr>
        <a:noFill/>
        <a:ln w="25400">
          <a:noFill/>
        </a:ln>
      </c:spPr>
    </c:plotArea>
    <c:legend>
      <c:legendPos val="r"/>
      <c:layout>
        <c:manualLayout>
          <c:xMode val="edge"/>
          <c:yMode val="edge"/>
          <c:x val="1.7717806802674946E-2"/>
          <c:y val="2.0745245718965442E-2"/>
          <c:w val="0.95214225778290096"/>
          <c:h val="4.12034557061441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CH"/>
    </a:p>
  </c:txPr>
  <c:printSettings>
    <c:headerFooter/>
    <c:pageMargins b="0.75" l="0.7" r="0.7" t="0.75" header="0.3" footer="0.3"/>
    <c:pageSetup paperSize="9" orientation="portrait" horizontalDpi="0"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0"/>
          <c:w val="0.88368214732400474"/>
          <c:h val="0.6333931851878436"/>
        </c:manualLayout>
      </c:layout>
      <c:barChart>
        <c:barDir val="col"/>
        <c:grouping val="percentStacked"/>
        <c:varyColors val="0"/>
        <c:ser>
          <c:idx val="0"/>
          <c:order val="0"/>
          <c:tx>
            <c:strRef>
              <c:f>'Calcoli Partner'!$S$32</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BF4E-4D42-866F-73B29E6491C1}"/>
              </c:ext>
            </c:extLst>
          </c:dPt>
          <c:dPt>
            <c:idx val="1"/>
            <c:invertIfNegative val="0"/>
            <c:bubble3D val="0"/>
            <c:spPr>
              <a:solidFill>
                <a:srgbClr val="2F5291"/>
              </a:solidFill>
              <a:ln>
                <a:noFill/>
              </a:ln>
              <a:effectLst/>
            </c:spPr>
            <c:extLst>
              <c:ext xmlns:c16="http://schemas.microsoft.com/office/drawing/2014/chart" uri="{C3380CC4-5D6E-409C-BE32-E72D297353CC}">
                <c16:uniqueId val="{00000003-BF4E-4D42-866F-73B29E6491C1}"/>
              </c:ext>
            </c:extLst>
          </c:dPt>
          <c:dPt>
            <c:idx val="2"/>
            <c:invertIfNegative val="0"/>
            <c:bubble3D val="0"/>
            <c:spPr>
              <a:solidFill>
                <a:srgbClr val="4B77C5"/>
              </a:solidFill>
              <a:ln>
                <a:noFill/>
              </a:ln>
              <a:effectLst/>
            </c:spPr>
            <c:extLst>
              <c:ext xmlns:c16="http://schemas.microsoft.com/office/drawing/2014/chart" uri="{C3380CC4-5D6E-409C-BE32-E72D297353CC}">
                <c16:uniqueId val="{00000005-BF4E-4D42-866F-73B29E6491C1}"/>
              </c:ext>
            </c:extLst>
          </c:dPt>
          <c:dPt>
            <c:idx val="3"/>
            <c:invertIfNegative val="0"/>
            <c:bubble3D val="0"/>
            <c:spPr>
              <a:solidFill>
                <a:srgbClr val="4B77C5"/>
              </a:solidFill>
              <a:ln>
                <a:noFill/>
              </a:ln>
              <a:effectLst/>
            </c:spPr>
            <c:extLst>
              <c:ext xmlns:c16="http://schemas.microsoft.com/office/drawing/2014/chart" uri="{C3380CC4-5D6E-409C-BE32-E72D297353CC}">
                <c16:uniqueId val="{00000007-BF4E-4D42-866F-73B29E6491C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Partner'!$S$33:$S$35</c:f>
              <c:numCache>
                <c:formatCode>#,##0</c:formatCode>
                <c:ptCount val="3"/>
                <c:pt idx="0">
                  <c:v>0</c:v>
                </c:pt>
                <c:pt idx="1">
                  <c:v>0</c:v>
                </c:pt>
                <c:pt idx="2">
                  <c:v>0</c:v>
                </c:pt>
              </c:numCache>
            </c:numRef>
          </c:val>
          <c:extLst>
            <c:ext xmlns:c16="http://schemas.microsoft.com/office/drawing/2014/chart" uri="{C3380CC4-5D6E-409C-BE32-E72D297353CC}">
              <c16:uniqueId val="{00000008-BF4E-4D42-866F-73B29E6491C1}"/>
            </c:ext>
          </c:extLst>
        </c:ser>
        <c:ser>
          <c:idx val="1"/>
          <c:order val="1"/>
          <c:tx>
            <c:strRef>
              <c:f>'Calcoli Partner'!$T$32</c:f>
              <c:strCache>
                <c:ptCount val="1"/>
                <c:pt idx="0">
                  <c:v>Rend. suppl. AVS figli</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Partner'!$T$33:$T$35</c:f>
              <c:numCache>
                <c:formatCode>#,##0</c:formatCode>
                <c:ptCount val="3"/>
                <c:pt idx="1">
                  <c:v>0</c:v>
                </c:pt>
              </c:numCache>
            </c:numRef>
          </c:val>
          <c:extLst>
            <c:ext xmlns:c16="http://schemas.microsoft.com/office/drawing/2014/chart" uri="{C3380CC4-5D6E-409C-BE32-E72D297353CC}">
              <c16:uniqueId val="{00000009-BF4E-4D42-866F-73B29E6491C1}"/>
            </c:ext>
          </c:extLst>
        </c:ser>
        <c:ser>
          <c:idx val="2"/>
          <c:order val="2"/>
          <c:tx>
            <c:strRef>
              <c:f>'Calcoli Partner'!$U$32</c:f>
              <c:strCache>
                <c:ptCount val="1"/>
                <c:pt idx="0">
                  <c:v>LPP</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Partner'!$U$33:$U$35</c:f>
              <c:numCache>
                <c:formatCode>#,##0</c:formatCode>
                <c:ptCount val="3"/>
                <c:pt idx="1">
                  <c:v>0</c:v>
                </c:pt>
                <c:pt idx="2">
                  <c:v>0</c:v>
                </c:pt>
              </c:numCache>
            </c:numRef>
          </c:val>
          <c:extLst>
            <c:ext xmlns:c16="http://schemas.microsoft.com/office/drawing/2014/chart" uri="{C3380CC4-5D6E-409C-BE32-E72D297353CC}">
              <c16:uniqueId val="{0000000A-BF4E-4D42-866F-73B29E6491C1}"/>
            </c:ext>
          </c:extLst>
        </c:ser>
        <c:ser>
          <c:idx val="3"/>
          <c:order val="3"/>
          <c:tx>
            <c:strRef>
              <c:f>'Calcoli Partner'!$V$32</c:f>
              <c:strCache>
                <c:ptCount val="1"/>
                <c:pt idx="0">
                  <c:v>Rend. suppl. LPP figli</c:v>
                </c:pt>
              </c:strCache>
            </c:strRef>
          </c:tx>
          <c:spPr>
            <a:solidFill>
              <a:srgbClr val="ADEFED"/>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4E-4D42-866F-73B29E6491C1}"/>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Partner'!$V$33:$V$35</c:f>
              <c:numCache>
                <c:formatCode>#,##0</c:formatCode>
                <c:ptCount val="3"/>
                <c:pt idx="1">
                  <c:v>0</c:v>
                </c:pt>
              </c:numCache>
            </c:numRef>
          </c:val>
          <c:extLst>
            <c:ext xmlns:c16="http://schemas.microsoft.com/office/drawing/2014/chart" uri="{C3380CC4-5D6E-409C-BE32-E72D297353CC}">
              <c16:uniqueId val="{0000000C-BF4E-4D42-866F-73B29E6491C1}"/>
            </c:ext>
          </c:extLst>
        </c:ser>
        <c:ser>
          <c:idx val="4"/>
          <c:order val="4"/>
          <c:tx>
            <c:strRef>
              <c:f>'Calcoli Partner'!$W$32</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Partner'!$R$33:$R$35</c:f>
              <c:strCache>
                <c:ptCount val="3"/>
                <c:pt idx="0">
                  <c:v>Fabbisogno mensile</c:v>
                </c:pt>
                <c:pt idx="1">
                  <c:v>Vedovanza (con Figli):</c:v>
                </c:pt>
                <c:pt idx="2">
                  <c:v>Vedovanza (senza Figli):</c:v>
                </c:pt>
              </c:strCache>
            </c:strRef>
          </c:cat>
          <c:val>
            <c:numRef>
              <c:f>'Calcoli Partner'!$W$33:$W$35</c:f>
              <c:numCache>
                <c:formatCode>#,##0</c:formatCode>
                <c:ptCount val="3"/>
                <c:pt idx="1">
                  <c:v>0</c:v>
                </c:pt>
                <c:pt idx="2">
                  <c:v>0</c:v>
                </c:pt>
              </c:numCache>
            </c:numRef>
          </c:val>
          <c:extLst>
            <c:ext xmlns:c16="http://schemas.microsoft.com/office/drawing/2014/chart" uri="{C3380CC4-5D6E-409C-BE32-E72D297353CC}">
              <c16:uniqueId val="{0000000D-BF4E-4D42-866F-73B29E6491C1}"/>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254717371685"/>
          <c:y val="7.6976906927921626E-2"/>
          <c:w val="0.75603798736514405"/>
          <c:h val="0.89055525861926466"/>
        </c:manualLayout>
      </c:layout>
      <c:barChart>
        <c:barDir val="bar"/>
        <c:grouping val="percentStacked"/>
        <c:varyColors val="0"/>
        <c:ser>
          <c:idx val="0"/>
          <c:order val="0"/>
          <c:tx>
            <c:strRef>
              <c:f>'KMU-Dati per grafico'!$P$35</c:f>
              <c:strCache>
                <c:ptCount val="1"/>
                <c:pt idx="0">
                  <c:v>Somma ass. PROPOSTA</c:v>
                </c:pt>
              </c:strCache>
            </c:strRef>
          </c:tx>
          <c:spPr>
            <a:solidFill>
              <a:srgbClr val="4472C4"/>
            </a:solidFill>
            <a:ln w="25400">
              <a:noFill/>
            </a:ln>
          </c:spPr>
          <c:invertIfNegative val="0"/>
          <c:cat>
            <c:multiLvlStrRef>
              <c:f>'KMU-Dati per grafico'!$N$38:$O$65</c:f>
              <c:multiLvlStrCache>
                <c:ptCount val="28"/>
                <c:lvl>
                  <c:pt idx="0">
                    <c:v>Impianti ITG/EED</c:v>
                  </c:pt>
                  <c:pt idx="1">
                    <c:v>Cyber</c:v>
                  </c:pt>
                  <c:pt idx="2">
                    <c:v>Casco macchine</c:v>
                  </c:pt>
                  <c:pt idx="3">
                    <c:v>Montaggio</c:v>
                  </c:pt>
                  <c:pt idx="4">
                    <c:v>Macchine</c:v>
                  </c:pt>
                  <c:pt idx="5">
                    <c:v>LPP</c:v>
                  </c:pt>
                  <c:pt idx="6">
                    <c:v>P.G. Malattia</c:v>
                  </c:pt>
                  <c:pt idx="7">
                    <c:v>Compl.Lainf</c:v>
                  </c:pt>
                  <c:pt idx="8">
                    <c:v>Lanif</c:v>
                  </c:pt>
                  <c:pt idx="9">
                    <c:v>Invalidità</c:v>
                  </c:pt>
                  <c:pt idx="10">
                    <c:v>Decesso</c:v>
                  </c:pt>
                  <c:pt idx="11">
                    <c:v>Contrattuale</c:v>
                  </c:pt>
                  <c:pt idx="12">
                    <c:v>Extracontrattuale</c:v>
                  </c:pt>
                  <c:pt idx="13">
                    <c:v>Stabile</c:v>
                  </c:pt>
                  <c:pt idx="14">
                    <c:v>Professionale</c:v>
                  </c:pt>
                  <c:pt idx="15">
                    <c:v>Impresa</c:v>
                  </c:pt>
                  <c:pt idx="16">
                    <c:v>Trasporti (RC)</c:v>
                  </c:pt>
                  <c:pt idx="17">
                    <c:v>Trasporti(Cose)</c:v>
                  </c:pt>
                  <c:pt idx="18">
                    <c:v>Danni di ripercussione</c:v>
                  </c:pt>
                  <c:pt idx="19">
                    <c:v>Perdita di esercizio</c:v>
                  </c:pt>
                  <c:pt idx="20">
                    <c:v>Furto</c:v>
                  </c:pt>
                  <c:pt idx="21">
                    <c:v>Rottura vetri</c:v>
                  </c:pt>
                  <c:pt idx="22">
                    <c:v>Danni acque</c:v>
                  </c:pt>
                  <c:pt idx="23">
                    <c:v>Incendio/Natura</c:v>
                  </c:pt>
                  <c:pt idx="24">
                    <c:v>Furto</c:v>
                  </c:pt>
                  <c:pt idx="25">
                    <c:v>Rottura vetri</c:v>
                  </c:pt>
                  <c:pt idx="26">
                    <c:v>Danni acque</c:v>
                  </c:pt>
                  <c:pt idx="27">
                    <c:v>Incendio/Natura</c:v>
                  </c:pt>
                </c:lvl>
                <c:lvl>
                  <c:pt idx="0">
                    <c:v>Assicurazioni tecniche</c:v>
                  </c:pt>
                  <c:pt idx="5">
                    <c:v>Personale</c:v>
                  </c:pt>
                  <c:pt idx="9">
                    <c:v>Dirigenti/soci</c:v>
                  </c:pt>
                  <c:pt idx="11">
                    <c:v>Protezione Giuridica</c:v>
                  </c:pt>
                  <c:pt idx="13">
                    <c:v>Responsabilità Civile</c:v>
                  </c:pt>
                  <c:pt idx="16">
                    <c:v>Trasp.</c:v>
                  </c:pt>
                  <c:pt idx="18">
                    <c:v>Beni mobili</c:v>
                  </c:pt>
                  <c:pt idx="24">
                    <c:v>Stabili</c:v>
                  </c:pt>
                </c:lvl>
              </c:multiLvlStrCache>
            </c:multiLvlStrRef>
          </c:cat>
          <c:val>
            <c:numRef>
              <c:f>'KMU-Dati per grafico'!$P$38:$P$65</c:f>
              <c:numCache>
                <c:formatCode>General</c:formatCode>
                <c:ptCount val="28"/>
                <c:pt idx="0">
                  <c:v>60000</c:v>
                </c:pt>
                <c:pt idx="1">
                  <c:v>40000</c:v>
                </c:pt>
                <c:pt idx="2">
                  <c:v>40000</c:v>
                </c:pt>
                <c:pt idx="3">
                  <c:v>50000</c:v>
                </c:pt>
                <c:pt idx="4">
                  <c:v>60000</c:v>
                </c:pt>
                <c:pt idx="5">
                  <c:v>40000</c:v>
                </c:pt>
                <c:pt idx="6">
                  <c:v>40000</c:v>
                </c:pt>
                <c:pt idx="7">
                  <c:v>40000</c:v>
                </c:pt>
                <c:pt idx="8">
                  <c:v>40000</c:v>
                </c:pt>
                <c:pt idx="9">
                  <c:v>200000</c:v>
                </c:pt>
                <c:pt idx="10">
                  <c:v>200000</c:v>
                </c:pt>
                <c:pt idx="11">
                  <c:v>250000</c:v>
                </c:pt>
                <c:pt idx="12">
                  <c:v>250000</c:v>
                </c:pt>
                <c:pt idx="13">
                  <c:v>1000000</c:v>
                </c:pt>
                <c:pt idx="14">
                  <c:v>0</c:v>
                </c:pt>
                <c:pt idx="15">
                  <c:v>1000000</c:v>
                </c:pt>
                <c:pt idx="16">
                  <c:v>0</c:v>
                </c:pt>
                <c:pt idx="17">
                  <c:v>0</c:v>
                </c:pt>
                <c:pt idx="18">
                  <c:v>100000</c:v>
                </c:pt>
                <c:pt idx="19">
                  <c:v>50000</c:v>
                </c:pt>
                <c:pt idx="20">
                  <c:v>20000</c:v>
                </c:pt>
                <c:pt idx="21">
                  <c:v>5000</c:v>
                </c:pt>
                <c:pt idx="22">
                  <c:v>50000</c:v>
                </c:pt>
                <c:pt idx="23">
                  <c:v>50000</c:v>
                </c:pt>
                <c:pt idx="24">
                  <c:v>20000</c:v>
                </c:pt>
                <c:pt idx="25">
                  <c:v>10000</c:v>
                </c:pt>
                <c:pt idx="26">
                  <c:v>500000</c:v>
                </c:pt>
                <c:pt idx="27">
                  <c:v>500000</c:v>
                </c:pt>
              </c:numCache>
            </c:numRef>
          </c:val>
          <c:extLst>
            <c:ext xmlns:c16="http://schemas.microsoft.com/office/drawing/2014/chart" uri="{C3380CC4-5D6E-409C-BE32-E72D297353CC}">
              <c16:uniqueId val="{00000000-D481-4C85-9832-607B33069AB4}"/>
            </c:ext>
          </c:extLst>
        </c:ser>
        <c:ser>
          <c:idx val="1"/>
          <c:order val="1"/>
          <c:tx>
            <c:strRef>
              <c:f>'KMU-Dati per grafico'!$Q$35</c:f>
              <c:strCache>
                <c:ptCount val="1"/>
                <c:pt idx="0">
                  <c:v>SOLUZIONE PROPOSTA:</c:v>
                </c:pt>
              </c:strCache>
            </c:strRef>
          </c:tx>
          <c:spPr>
            <a:solidFill>
              <a:srgbClr val="FF0000"/>
            </a:solidFill>
            <a:ln w="25400">
              <a:noFill/>
            </a:ln>
          </c:spPr>
          <c:invertIfNegative val="0"/>
          <c:cat>
            <c:multiLvlStrRef>
              <c:f>'KMU-Dati per grafico'!$N$38:$O$65</c:f>
              <c:multiLvlStrCache>
                <c:ptCount val="28"/>
                <c:lvl>
                  <c:pt idx="0">
                    <c:v>Impianti ITG/EED</c:v>
                  </c:pt>
                  <c:pt idx="1">
                    <c:v>Cyber</c:v>
                  </c:pt>
                  <c:pt idx="2">
                    <c:v>Casco macchine</c:v>
                  </c:pt>
                  <c:pt idx="3">
                    <c:v>Montaggio</c:v>
                  </c:pt>
                  <c:pt idx="4">
                    <c:v>Macchine</c:v>
                  </c:pt>
                  <c:pt idx="5">
                    <c:v>LPP</c:v>
                  </c:pt>
                  <c:pt idx="6">
                    <c:v>P.G. Malattia</c:v>
                  </c:pt>
                  <c:pt idx="7">
                    <c:v>Compl.Lainf</c:v>
                  </c:pt>
                  <c:pt idx="8">
                    <c:v>Lanif</c:v>
                  </c:pt>
                  <c:pt idx="9">
                    <c:v>Invalidità</c:v>
                  </c:pt>
                  <c:pt idx="10">
                    <c:v>Decesso</c:v>
                  </c:pt>
                  <c:pt idx="11">
                    <c:v>Contrattuale</c:v>
                  </c:pt>
                  <c:pt idx="12">
                    <c:v>Extracontrattuale</c:v>
                  </c:pt>
                  <c:pt idx="13">
                    <c:v>Stabile</c:v>
                  </c:pt>
                  <c:pt idx="14">
                    <c:v>Professionale</c:v>
                  </c:pt>
                  <c:pt idx="15">
                    <c:v>Impresa</c:v>
                  </c:pt>
                  <c:pt idx="16">
                    <c:v>Trasporti (RC)</c:v>
                  </c:pt>
                  <c:pt idx="17">
                    <c:v>Trasporti(Cose)</c:v>
                  </c:pt>
                  <c:pt idx="18">
                    <c:v>Danni di ripercussione</c:v>
                  </c:pt>
                  <c:pt idx="19">
                    <c:v>Perdita di esercizio</c:v>
                  </c:pt>
                  <c:pt idx="20">
                    <c:v>Furto</c:v>
                  </c:pt>
                  <c:pt idx="21">
                    <c:v>Rottura vetri</c:v>
                  </c:pt>
                  <c:pt idx="22">
                    <c:v>Danni acque</c:v>
                  </c:pt>
                  <c:pt idx="23">
                    <c:v>Incendio/Natura</c:v>
                  </c:pt>
                  <c:pt idx="24">
                    <c:v>Furto</c:v>
                  </c:pt>
                  <c:pt idx="25">
                    <c:v>Rottura vetri</c:v>
                  </c:pt>
                  <c:pt idx="26">
                    <c:v>Danni acque</c:v>
                  </c:pt>
                  <c:pt idx="27">
                    <c:v>Incendio/Natura</c:v>
                  </c:pt>
                </c:lvl>
                <c:lvl>
                  <c:pt idx="0">
                    <c:v>Assicurazioni tecniche</c:v>
                  </c:pt>
                  <c:pt idx="5">
                    <c:v>Personale</c:v>
                  </c:pt>
                  <c:pt idx="9">
                    <c:v>Dirigenti/soci</c:v>
                  </c:pt>
                  <c:pt idx="11">
                    <c:v>Protezione Giuridica</c:v>
                  </c:pt>
                  <c:pt idx="13">
                    <c:v>Responsabilità Civile</c:v>
                  </c:pt>
                  <c:pt idx="16">
                    <c:v>Trasp.</c:v>
                  </c:pt>
                  <c:pt idx="18">
                    <c:v>Beni mobili</c:v>
                  </c:pt>
                  <c:pt idx="24">
                    <c:v>Stabili</c:v>
                  </c:pt>
                </c:lvl>
              </c:multiLvlStrCache>
            </c:multiLvlStrRef>
          </c:cat>
          <c:val>
            <c:numRef>
              <c:f>'KMU-Dati per grafico'!$Q$38:$Q$65</c:f>
              <c:numCache>
                <c:formatCode>General</c:formatCode>
                <c:ptCount val="28"/>
                <c:pt idx="0">
                  <c:v>0</c:v>
                </c:pt>
                <c:pt idx="1">
                  <c:v>0</c:v>
                </c:pt>
                <c:pt idx="2">
                  <c:v>0</c:v>
                </c:pt>
                <c:pt idx="3">
                  <c:v>0</c:v>
                </c:pt>
                <c:pt idx="4">
                  <c:v>0</c:v>
                </c:pt>
                <c:pt idx="5">
                  <c:v>0</c:v>
                </c:pt>
                <c:pt idx="6">
                  <c:v>0</c:v>
                </c:pt>
                <c:pt idx="7">
                  <c:v>0</c:v>
                </c:pt>
                <c:pt idx="8">
                  <c:v>0</c:v>
                </c:pt>
                <c:pt idx="9">
                  <c:v>0</c:v>
                </c:pt>
                <c:pt idx="10">
                  <c:v>0</c:v>
                </c:pt>
                <c:pt idx="12">
                  <c:v>0</c:v>
                </c:pt>
                <c:pt idx="13">
                  <c:v>0</c:v>
                </c:pt>
                <c:pt idx="14">
                  <c:v>0</c:v>
                </c:pt>
                <c:pt idx="15">
                  <c:v>0</c:v>
                </c:pt>
                <c:pt idx="16">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D481-4C85-9832-607B33069AB4}"/>
            </c:ext>
          </c:extLst>
        </c:ser>
        <c:dLbls>
          <c:showLegendKey val="0"/>
          <c:showVal val="0"/>
          <c:showCatName val="0"/>
          <c:showSerName val="0"/>
          <c:showPercent val="0"/>
          <c:showBubbleSize val="0"/>
        </c:dLbls>
        <c:gapWidth val="150"/>
        <c:overlap val="100"/>
        <c:axId val="600390943"/>
        <c:axId val="1"/>
      </c:barChart>
      <c:catAx>
        <c:axId val="60039094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600390943"/>
        <c:crosses val="autoZero"/>
        <c:crossBetween val="between"/>
      </c:valAx>
      <c:spPr>
        <a:noFill/>
        <a:ln w="25400">
          <a:noFill/>
        </a:ln>
      </c:spPr>
    </c:plotArea>
    <c:legend>
      <c:legendPos val="r"/>
      <c:layout>
        <c:manualLayout>
          <c:xMode val="edge"/>
          <c:yMode val="edge"/>
          <c:x val="1.6158093874629281E-2"/>
          <c:y val="1.4229652364133281E-2"/>
          <c:w val="0.96003238231584687"/>
          <c:h val="3.2422430751089637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CH"/>
    </a:p>
  </c:txPr>
  <c:printSettings>
    <c:headerFooter/>
    <c:pageMargins b="0.75" l="0.7" r="0.7" t="0.75" header="0.3" footer="0.3"/>
    <c:pageSetup paperSize="9"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CH" sz="1400" b="0" i="0" u="none" strike="noStrike" baseline="0"/>
              <a:t>DIE ZUKUNFT DER KINDER SICHERN</a:t>
            </a:r>
            <a:endParaRPr lang="it-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CH"/>
        </a:p>
      </c:txPr>
    </c:title>
    <c:autoTitleDeleted val="0"/>
    <c:plotArea>
      <c:layout/>
      <c:barChart>
        <c:barDir val="col"/>
        <c:grouping val="clustered"/>
        <c:varyColors val="0"/>
        <c:ser>
          <c:idx val="0"/>
          <c:order val="0"/>
          <c:tx>
            <c:strRef>
              <c:f>KINDER!$A$9</c:f>
              <c:strCache>
                <c:ptCount val="1"/>
                <c:pt idx="0">
                  <c:v>Voraussichtliche Studienkosten</c:v>
                </c:pt>
              </c:strCache>
            </c:strRef>
          </c:tx>
          <c:spPr>
            <a:solidFill>
              <a:schemeClr val="accent2"/>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E2F1-4F2E-A288-CA0E135517C5}"/>
              </c:ext>
            </c:extLst>
          </c:dPt>
          <c:dPt>
            <c:idx val="1"/>
            <c:invertIfNegative val="0"/>
            <c:bubble3D val="0"/>
            <c:spPr>
              <a:solidFill>
                <a:srgbClr val="FF0000"/>
              </a:solidFill>
              <a:ln>
                <a:noFill/>
              </a:ln>
              <a:effectLst/>
            </c:spPr>
            <c:extLst>
              <c:ext xmlns:c16="http://schemas.microsoft.com/office/drawing/2014/chart" uri="{C3380CC4-5D6E-409C-BE32-E72D297353CC}">
                <c16:uniqueId val="{00000003-E2F1-4F2E-A288-CA0E135517C5}"/>
              </c:ext>
            </c:extLst>
          </c:dPt>
          <c:dPt>
            <c:idx val="2"/>
            <c:invertIfNegative val="0"/>
            <c:bubble3D val="0"/>
            <c:spPr>
              <a:solidFill>
                <a:srgbClr val="FF0000"/>
              </a:solidFill>
              <a:ln>
                <a:noFill/>
              </a:ln>
              <a:effectLst/>
            </c:spPr>
            <c:extLst>
              <c:ext xmlns:c16="http://schemas.microsoft.com/office/drawing/2014/chart" uri="{C3380CC4-5D6E-409C-BE32-E72D297353CC}">
                <c16:uniqueId val="{00000005-E2F1-4F2E-A288-CA0E135517C5}"/>
              </c:ext>
            </c:extLst>
          </c:dPt>
          <c:cat>
            <c:multiLvlStrRef>
              <c:f>KINDER!$C$3:$E$3</c:f>
            </c:multiLvlStrRef>
          </c:cat>
          <c:val>
            <c:numRef>
              <c:f>KINDER!$C$9:$E$9</c:f>
              <c:numCache>
                <c:formatCode>#,##0</c:formatCode>
                <c:ptCount val="3"/>
                <c:pt idx="0">
                  <c:v>0</c:v>
                </c:pt>
                <c:pt idx="1">
                  <c:v>0</c:v>
                </c:pt>
                <c:pt idx="2">
                  <c:v>0</c:v>
                </c:pt>
              </c:numCache>
            </c:numRef>
          </c:val>
          <c:extLst>
            <c:ext xmlns:c16="http://schemas.microsoft.com/office/drawing/2014/chart" uri="{C3380CC4-5D6E-409C-BE32-E72D297353CC}">
              <c16:uniqueId val="{00000006-E2F1-4F2E-A288-CA0E135517C5}"/>
            </c:ext>
          </c:extLst>
        </c:ser>
        <c:ser>
          <c:idx val="1"/>
          <c:order val="1"/>
          <c:tx>
            <c:strRef>
              <c:f>KINDER!$A$10</c:f>
              <c:strCache>
                <c:ptCount val="1"/>
                <c:pt idx="0">
                  <c:v>Bereits vorhandenes Kapital</c:v>
                </c:pt>
              </c:strCache>
            </c:strRef>
          </c:tx>
          <c:spPr>
            <a:solidFill>
              <a:srgbClr val="00B050"/>
            </a:solidFill>
            <a:ln>
              <a:noFill/>
            </a:ln>
            <a:effectLst/>
          </c:spPr>
          <c:invertIfNegative val="0"/>
          <c:cat>
            <c:multiLvlStrRef>
              <c:f>KINDER!$C$3:$E$3</c:f>
            </c:multiLvlStrRef>
          </c:cat>
          <c:val>
            <c:numRef>
              <c:f>KINDER!$C$10:$E$10</c:f>
              <c:numCache>
                <c:formatCode>#,##0</c:formatCode>
                <c:ptCount val="3"/>
                <c:pt idx="0">
                  <c:v>0</c:v>
                </c:pt>
                <c:pt idx="1">
                  <c:v>0</c:v>
                </c:pt>
                <c:pt idx="2">
                  <c:v>0</c:v>
                </c:pt>
              </c:numCache>
            </c:numRef>
          </c:val>
          <c:extLst>
            <c:ext xmlns:c16="http://schemas.microsoft.com/office/drawing/2014/chart" uri="{C3380CC4-5D6E-409C-BE32-E72D297353CC}">
              <c16:uniqueId val="{00000007-E2F1-4F2E-A288-CA0E135517C5}"/>
            </c:ext>
          </c:extLst>
        </c:ser>
        <c:ser>
          <c:idx val="2"/>
          <c:order val="2"/>
          <c:tx>
            <c:strRef>
              <c:f>KINDER!$A$11</c:f>
              <c:strCache>
                <c:ptCount val="1"/>
                <c:pt idx="0">
                  <c:v>monatlichen Sparbetrag</c:v>
                </c:pt>
              </c:strCache>
            </c:strRef>
          </c:tx>
          <c:spPr>
            <a:solidFill>
              <a:srgbClr val="0070C0"/>
            </a:solidFill>
            <a:ln>
              <a:noFill/>
            </a:ln>
            <a:effectLst/>
          </c:spPr>
          <c:invertIfNegative val="0"/>
          <c:cat>
            <c:multiLvlStrRef>
              <c:f>KINDER!$C$3:$E$3</c:f>
            </c:multiLvlStrRef>
          </c:cat>
          <c:val>
            <c:numRef>
              <c:f>KINDER!$C$11:$E$11</c:f>
              <c:numCache>
                <c:formatCode>#,##0</c:formatCode>
                <c:ptCount val="3"/>
                <c:pt idx="0">
                  <c:v>0</c:v>
                </c:pt>
                <c:pt idx="1">
                  <c:v>0</c:v>
                </c:pt>
                <c:pt idx="2">
                  <c:v>0</c:v>
                </c:pt>
              </c:numCache>
            </c:numRef>
          </c:val>
          <c:extLst>
            <c:ext xmlns:c16="http://schemas.microsoft.com/office/drawing/2014/chart" uri="{C3380CC4-5D6E-409C-BE32-E72D297353CC}">
              <c16:uniqueId val="{00000008-E2F1-4F2E-A288-CA0E135517C5}"/>
            </c:ext>
          </c:extLst>
        </c:ser>
        <c:dLbls>
          <c:showLegendKey val="0"/>
          <c:showVal val="0"/>
          <c:showCatName val="0"/>
          <c:showSerName val="0"/>
          <c:showPercent val="0"/>
          <c:showBubbleSize val="0"/>
        </c:dLbls>
        <c:gapWidth val="219"/>
        <c:overlap val="-27"/>
        <c:axId val="1264871119"/>
        <c:axId val="1"/>
      </c:barChart>
      <c:catAx>
        <c:axId val="1264871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CH"/>
          </a:p>
        </c:txPr>
        <c:crossAx val="1264871119"/>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it-CH"/>
          </a:p>
        </c:txPr>
      </c:dTable>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it-CH"/>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ERTRAG BEI UNFALL / INVALIDITÄT</a:t>
            </a:r>
            <a:endParaRPr lang="it-CH"/>
          </a:p>
        </c:rich>
      </c:tx>
      <c:layout>
        <c:manualLayout>
          <c:xMode val="edge"/>
          <c:yMode val="edge"/>
          <c:x val="0.24373278682630425"/>
          <c:y val="5.5140212736565823E-2"/>
        </c:manualLayout>
      </c:layout>
      <c:overlay val="0"/>
      <c:spPr>
        <a:noFill/>
        <a:ln w="25400">
          <a:noFill/>
        </a:ln>
      </c:spPr>
    </c:title>
    <c:autoTitleDeleted val="0"/>
    <c:plotArea>
      <c:layout>
        <c:manualLayout>
          <c:layoutTarget val="inner"/>
          <c:xMode val="edge"/>
          <c:yMode val="edge"/>
          <c:x val="0.17637565725125484"/>
          <c:y val="0.34587569312104965"/>
          <c:w val="0.77399802987929311"/>
          <c:h val="0.39098991396292571"/>
        </c:manualLayout>
      </c:layout>
      <c:barChart>
        <c:barDir val="col"/>
        <c:grouping val="percentStacked"/>
        <c:varyColors val="0"/>
        <c:ser>
          <c:idx val="0"/>
          <c:order val="0"/>
          <c:tx>
            <c:strRef>
              <c:f>'calcoli ClienteD'!$B$37</c:f>
              <c:strCache>
                <c:ptCount val="1"/>
                <c:pt idx="0">
                  <c:v>Ertrag</c:v>
                </c:pt>
              </c:strCache>
            </c:strRef>
          </c:tx>
          <c:spPr>
            <a:solidFill>
              <a:srgbClr val="004586"/>
            </a:solidFill>
            <a:ln w="25400">
              <a:noFill/>
            </a:ln>
          </c:spPr>
          <c:invertIfNegative val="0"/>
          <c:cat>
            <c:strRef>
              <c:f>'calcoli ClienteD'!$A$38:$A$40</c:f>
              <c:strCache>
                <c:ptCount val="3"/>
                <c:pt idx="0">
                  <c:v>Bedarf</c:v>
                </c:pt>
                <c:pt idx="1">
                  <c:v>Unfall Tagesgeld</c:v>
                </c:pt>
                <c:pt idx="2">
                  <c:v>Inv. Unfall</c:v>
                </c:pt>
              </c:strCache>
            </c:strRef>
          </c:cat>
          <c:val>
            <c:numRef>
              <c:f>'calcoli ClienteD'!$B$38:$B$40</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60C8-46AE-B335-B9854ED5A7FF}"/>
            </c:ext>
          </c:extLst>
        </c:ser>
        <c:ser>
          <c:idx val="1"/>
          <c:order val="1"/>
          <c:tx>
            <c:strRef>
              <c:f>'calcoli ClienteD'!$D$37</c:f>
              <c:strCache>
                <c:ptCount val="1"/>
                <c:pt idx="0">
                  <c:v>Lücken</c:v>
                </c:pt>
              </c:strCache>
            </c:strRef>
          </c:tx>
          <c:spPr>
            <a:solidFill>
              <a:srgbClr val="FF420E"/>
            </a:solidFill>
            <a:ln w="25400">
              <a:noFill/>
            </a:ln>
          </c:spPr>
          <c:invertIfNegative val="0"/>
          <c:cat>
            <c:strRef>
              <c:f>'calcoli ClienteD'!$A$38:$A$40</c:f>
              <c:strCache>
                <c:ptCount val="3"/>
                <c:pt idx="0">
                  <c:v>Bedarf</c:v>
                </c:pt>
                <c:pt idx="1">
                  <c:v>Unfall Tagesgeld</c:v>
                </c:pt>
                <c:pt idx="2">
                  <c:v>Inv. Unfall</c:v>
                </c:pt>
              </c:strCache>
            </c:strRef>
          </c:cat>
          <c:val>
            <c:numRef>
              <c:f>'calcoli ClienteD'!$D$38:$D$40</c:f>
              <c:numCache>
                <c:formatCode>_-* #,##0.00" CHF"_-;\-* #,##0.00" CHF"_-;_-* \-??" CHF"_-;_-@_-</c:formatCode>
                <c:ptCount val="3"/>
                <c:pt idx="0" formatCode="General">
                  <c:v>0</c:v>
                </c:pt>
                <c:pt idx="1">
                  <c:v>0</c:v>
                </c:pt>
                <c:pt idx="2">
                  <c:v>0</c:v>
                </c:pt>
              </c:numCache>
            </c:numRef>
          </c:val>
          <c:extLst>
            <c:ext xmlns:c16="http://schemas.microsoft.com/office/drawing/2014/chart" uri="{C3380CC4-5D6E-409C-BE32-E72D297353CC}">
              <c16:uniqueId val="{00000001-60C8-46AE-B335-B9854ED5A7FF}"/>
            </c:ext>
          </c:extLst>
        </c:ser>
        <c:dLbls>
          <c:showLegendKey val="0"/>
          <c:showVal val="0"/>
          <c:showCatName val="0"/>
          <c:showSerName val="0"/>
          <c:showPercent val="0"/>
          <c:showBubbleSize val="0"/>
        </c:dLbls>
        <c:gapWidth val="100"/>
        <c:overlap val="100"/>
        <c:axId val="1265988991"/>
        <c:axId val="1"/>
      </c:barChart>
      <c:catAx>
        <c:axId val="126598899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5988991"/>
        <c:crossesAt val="1"/>
        <c:crossBetween val="between"/>
      </c:valAx>
      <c:spPr>
        <a:noFill/>
        <a:ln w="3175">
          <a:solidFill>
            <a:srgbClr val="B3B3B3"/>
          </a:solidFill>
          <a:prstDash val="solid"/>
        </a:ln>
      </c:spPr>
    </c:plotArea>
    <c:legend>
      <c:legendPos val="b"/>
      <c:layout>
        <c:manualLayout>
          <c:xMode val="edge"/>
          <c:yMode val="edge"/>
          <c:x val="0.41610955308668607"/>
          <c:y val="0.18045586406962288"/>
          <c:w val="0.20034911731923921"/>
          <c:h val="7.519048755269228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ERTRAG BEI KRANKHEIT / INVALIDITÄT</a:t>
            </a:r>
            <a:endParaRPr lang="it-CH"/>
          </a:p>
        </c:rich>
      </c:tx>
      <c:layout>
        <c:manualLayout>
          <c:xMode val="edge"/>
          <c:yMode val="edge"/>
          <c:x val="0.26199600906051129"/>
          <c:y val="5.7764764963946294E-2"/>
        </c:manualLayout>
      </c:layout>
      <c:overlay val="0"/>
      <c:spPr>
        <a:noFill/>
        <a:ln w="25400">
          <a:noFill/>
        </a:ln>
      </c:spPr>
    </c:title>
    <c:autoTitleDeleted val="0"/>
    <c:plotArea>
      <c:layout>
        <c:manualLayout>
          <c:layoutTarget val="inner"/>
          <c:xMode val="edge"/>
          <c:yMode val="edge"/>
          <c:x val="0.15240226694525905"/>
          <c:y val="0.3140897804608343"/>
          <c:w val="0.79454665014157522"/>
          <c:h val="0.57041592313576805"/>
        </c:manualLayout>
      </c:layout>
      <c:barChart>
        <c:barDir val="col"/>
        <c:grouping val="percentStacked"/>
        <c:varyColors val="0"/>
        <c:ser>
          <c:idx val="0"/>
          <c:order val="0"/>
          <c:tx>
            <c:strRef>
              <c:f>'calcoli ClienteD'!$B$26</c:f>
              <c:strCache>
                <c:ptCount val="1"/>
                <c:pt idx="0">
                  <c:v>Ertrag</c:v>
                </c:pt>
              </c:strCache>
            </c:strRef>
          </c:tx>
          <c:spPr>
            <a:solidFill>
              <a:srgbClr val="004586"/>
            </a:solidFill>
            <a:ln w="25400">
              <a:noFill/>
            </a:ln>
          </c:spPr>
          <c:invertIfNegative val="0"/>
          <c:cat>
            <c:strRef>
              <c:f>'calcoli ClienteD'!$A$27:$A$30</c:f>
              <c:strCache>
                <c:ptCount val="4"/>
                <c:pt idx="0">
                  <c:v>Bedarf</c:v>
                </c:pt>
                <c:pt idx="1">
                  <c:v>Krankheit Tagesgeld</c:v>
                </c:pt>
                <c:pt idx="2">
                  <c:v>Inv. mit Kindernzusatz</c:v>
                </c:pt>
                <c:pt idx="3">
                  <c:v>Inv. ohne Kinderzusatz</c:v>
                </c:pt>
              </c:strCache>
            </c:strRef>
          </c:cat>
          <c:val>
            <c:numRef>
              <c:f>'calcoli ClienteD'!$B$27:$B$30</c:f>
              <c:numCache>
                <c:formatCode>_-* #,##0.00" CHF"_-;\-* #,##0.00" CHF"_-;_-* \-??" CHF"_-;_-@_-</c:formatCode>
                <c:ptCount val="4"/>
                <c:pt idx="0">
                  <c:v>0</c:v>
                </c:pt>
                <c:pt idx="1">
                  <c:v>0</c:v>
                </c:pt>
                <c:pt idx="2">
                  <c:v>0</c:v>
                </c:pt>
                <c:pt idx="3">
                  <c:v>0</c:v>
                </c:pt>
              </c:numCache>
            </c:numRef>
          </c:val>
          <c:extLst>
            <c:ext xmlns:c16="http://schemas.microsoft.com/office/drawing/2014/chart" uri="{C3380CC4-5D6E-409C-BE32-E72D297353CC}">
              <c16:uniqueId val="{00000000-DF31-4A16-9CF1-1E7F8F64B895}"/>
            </c:ext>
          </c:extLst>
        </c:ser>
        <c:ser>
          <c:idx val="1"/>
          <c:order val="1"/>
          <c:tx>
            <c:strRef>
              <c:f>'calcoli ClienteD'!$C$26</c:f>
              <c:strCache>
                <c:ptCount val="1"/>
                <c:pt idx="0">
                  <c:v>Rendite aus 3. Säule</c:v>
                </c:pt>
              </c:strCache>
            </c:strRef>
          </c:tx>
          <c:spPr>
            <a:solidFill>
              <a:srgbClr val="70AD47"/>
            </a:solidFill>
            <a:ln w="25400">
              <a:noFill/>
            </a:ln>
          </c:spPr>
          <c:invertIfNegative val="0"/>
          <c:cat>
            <c:strRef>
              <c:f>'calcoli ClienteD'!$A$27:$A$30</c:f>
              <c:strCache>
                <c:ptCount val="4"/>
                <c:pt idx="0">
                  <c:v>Bedarf</c:v>
                </c:pt>
                <c:pt idx="1">
                  <c:v>Krankheit Tagesgeld</c:v>
                </c:pt>
                <c:pt idx="2">
                  <c:v>Inv. mit Kindernzusatz</c:v>
                </c:pt>
                <c:pt idx="3">
                  <c:v>Inv. ohne Kinderzusatz</c:v>
                </c:pt>
              </c:strCache>
            </c:strRef>
          </c:cat>
          <c:val>
            <c:numRef>
              <c:f>'calcoli ClienteD'!$C$27:$C$30</c:f>
              <c:numCache>
                <c:formatCode>_-* #,##0.00" CHF"_-;\-* #,##0.00" CHF"_-;_-* \-??" CHF"_-;_-@_-</c:formatCode>
                <c:ptCount val="4"/>
                <c:pt idx="2">
                  <c:v>0</c:v>
                </c:pt>
                <c:pt idx="3">
                  <c:v>0</c:v>
                </c:pt>
              </c:numCache>
            </c:numRef>
          </c:val>
          <c:extLst>
            <c:ext xmlns:c16="http://schemas.microsoft.com/office/drawing/2014/chart" uri="{C3380CC4-5D6E-409C-BE32-E72D297353CC}">
              <c16:uniqueId val="{00000001-DF31-4A16-9CF1-1E7F8F64B895}"/>
            </c:ext>
          </c:extLst>
        </c:ser>
        <c:ser>
          <c:idx val="2"/>
          <c:order val="2"/>
          <c:tx>
            <c:strRef>
              <c:f>'calcoli ClienteD'!$D$26</c:f>
              <c:strCache>
                <c:ptCount val="1"/>
                <c:pt idx="0">
                  <c:v>Lücken</c:v>
                </c:pt>
              </c:strCache>
            </c:strRef>
          </c:tx>
          <c:spPr>
            <a:solidFill>
              <a:srgbClr val="FF0000"/>
            </a:solidFill>
            <a:ln w="25400">
              <a:noFill/>
            </a:ln>
          </c:spPr>
          <c:invertIfNegative val="0"/>
          <c:cat>
            <c:strRef>
              <c:f>'calcoli ClienteD'!$A$27:$A$30</c:f>
              <c:strCache>
                <c:ptCount val="4"/>
                <c:pt idx="0">
                  <c:v>Bedarf</c:v>
                </c:pt>
                <c:pt idx="1">
                  <c:v>Krankheit Tagesgeld</c:v>
                </c:pt>
                <c:pt idx="2">
                  <c:v>Inv. mit Kindernzusatz</c:v>
                </c:pt>
                <c:pt idx="3">
                  <c:v>Inv. ohne Kinderzusatz</c:v>
                </c:pt>
              </c:strCache>
            </c:strRef>
          </c:cat>
          <c:val>
            <c:numRef>
              <c:f>'calcoli ClienteD'!$D$27:$D$30</c:f>
              <c:numCache>
                <c:formatCode>_-* #,##0.00" CHF"_-;\-* #,##0.00" CHF"_-;_-* \-??" CHF"_-;_-@_-</c:formatCode>
                <c:ptCount val="4"/>
                <c:pt idx="0">
                  <c:v>0</c:v>
                </c:pt>
                <c:pt idx="1">
                  <c:v>0</c:v>
                </c:pt>
                <c:pt idx="2">
                  <c:v>0</c:v>
                </c:pt>
                <c:pt idx="3">
                  <c:v>0</c:v>
                </c:pt>
              </c:numCache>
            </c:numRef>
          </c:val>
          <c:extLst>
            <c:ext xmlns:c16="http://schemas.microsoft.com/office/drawing/2014/chart" uri="{C3380CC4-5D6E-409C-BE32-E72D297353CC}">
              <c16:uniqueId val="{00000002-DF31-4A16-9CF1-1E7F8F64B895}"/>
            </c:ext>
          </c:extLst>
        </c:ser>
        <c:dLbls>
          <c:showLegendKey val="0"/>
          <c:showVal val="0"/>
          <c:showCatName val="0"/>
          <c:showSerName val="0"/>
          <c:showPercent val="0"/>
          <c:showBubbleSize val="0"/>
        </c:dLbls>
        <c:gapWidth val="100"/>
        <c:overlap val="100"/>
        <c:axId val="1266010111"/>
        <c:axId val="1"/>
      </c:barChart>
      <c:catAx>
        <c:axId val="126601011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6010111"/>
        <c:crossesAt val="1"/>
        <c:crossBetween val="between"/>
      </c:valAx>
      <c:spPr>
        <a:noFill/>
        <a:ln w="3175">
          <a:solidFill>
            <a:srgbClr val="B3B3B3"/>
          </a:solidFill>
          <a:prstDash val="solid"/>
        </a:ln>
      </c:spPr>
    </c:plotArea>
    <c:legend>
      <c:legendPos val="b"/>
      <c:layout>
        <c:manualLayout>
          <c:xMode val="edge"/>
          <c:yMode val="edge"/>
          <c:x val="0.34247725883579622"/>
          <c:y val="0.20217137117788078"/>
          <c:w val="0.36473807212454606"/>
          <c:h val="5.7763779527559067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i="0" u="none" strike="noStrike" baseline="0">
                <a:solidFill>
                  <a:srgbClr val="000000"/>
                </a:solidFill>
                <a:latin typeface="Arial"/>
                <a:ea typeface="Arial"/>
                <a:cs typeface="Arial"/>
              </a:defRPr>
            </a:pPr>
            <a:r>
              <a:rPr lang="it-CH" sz="1300" b="0" i="0" u="none" strike="noStrike" baseline="0"/>
              <a:t>ALTERSRENTE</a:t>
            </a:r>
            <a:endParaRPr lang="it-CH"/>
          </a:p>
        </c:rich>
      </c:tx>
      <c:layout>
        <c:manualLayout>
          <c:xMode val="edge"/>
          <c:yMode val="edge"/>
          <c:x val="0.38104642954113493"/>
          <c:y val="3.5484882571496741E-2"/>
        </c:manualLayout>
      </c:layout>
      <c:overlay val="0"/>
      <c:spPr>
        <a:noFill/>
        <a:ln w="25400">
          <a:noFill/>
        </a:ln>
      </c:spPr>
    </c:title>
    <c:autoTitleDeleted val="0"/>
    <c:plotArea>
      <c:layout>
        <c:manualLayout>
          <c:layoutTarget val="inner"/>
          <c:xMode val="edge"/>
          <c:yMode val="edge"/>
          <c:x val="0.15172888541967613"/>
          <c:y val="0.24839482390022055"/>
          <c:w val="0.78967988093422348"/>
          <c:h val="0.5484041566628246"/>
        </c:manualLayout>
      </c:layout>
      <c:barChart>
        <c:barDir val="col"/>
        <c:grouping val="percentStacked"/>
        <c:varyColors val="0"/>
        <c:ser>
          <c:idx val="0"/>
          <c:order val="0"/>
          <c:tx>
            <c:strRef>
              <c:f>'calcoli ClienteD'!$B$47</c:f>
              <c:strCache>
                <c:ptCount val="1"/>
                <c:pt idx="0">
                  <c:v>Ertrag</c:v>
                </c:pt>
              </c:strCache>
            </c:strRef>
          </c:tx>
          <c:spPr>
            <a:solidFill>
              <a:srgbClr val="004586"/>
            </a:solidFill>
            <a:ln w="25400">
              <a:noFill/>
            </a:ln>
          </c:spPr>
          <c:invertIfNegative val="0"/>
          <c:cat>
            <c:strRef>
              <c:f>'calcoli ClienteD'!$A$48:$A$50</c:f>
              <c:strCache>
                <c:ptCount val="3"/>
                <c:pt idx="0">
                  <c:v>Bedarf</c:v>
                </c:pt>
                <c:pt idx="1">
                  <c:v>AHV + BVG:</c:v>
                </c:pt>
                <c:pt idx="2">
                  <c:v>Mit Splitting:</c:v>
                </c:pt>
              </c:strCache>
            </c:strRef>
          </c:cat>
          <c:val>
            <c:numRef>
              <c:f>'calcoli ClienteD'!$B$48:$B$50</c:f>
              <c:numCache>
                <c:formatCode>_-* #,##0.00" CHF"_-;\-* #,##0.00" CHF"_-;_-* \-??" CHF"_-;_-@_-</c:formatCode>
                <c:ptCount val="3"/>
                <c:pt idx="0">
                  <c:v>0</c:v>
                </c:pt>
                <c:pt idx="1">
                  <c:v>0</c:v>
                </c:pt>
                <c:pt idx="2">
                  <c:v>0</c:v>
                </c:pt>
              </c:numCache>
            </c:numRef>
          </c:val>
          <c:extLst>
            <c:ext xmlns:c16="http://schemas.microsoft.com/office/drawing/2014/chart" uri="{C3380CC4-5D6E-409C-BE32-E72D297353CC}">
              <c16:uniqueId val="{00000000-8B2C-454E-99D6-58E52EB9DC35}"/>
            </c:ext>
          </c:extLst>
        </c:ser>
        <c:ser>
          <c:idx val="1"/>
          <c:order val="1"/>
          <c:tx>
            <c:strRef>
              <c:f>'calcoli ClienteD'!$C$47</c:f>
              <c:strCache>
                <c:ptCount val="1"/>
                <c:pt idx="0">
                  <c:v>Rendite aus 3. Säule</c:v>
                </c:pt>
              </c:strCache>
            </c:strRef>
          </c:tx>
          <c:spPr>
            <a:solidFill>
              <a:srgbClr val="70AD47"/>
            </a:solidFill>
            <a:ln w="25400">
              <a:noFill/>
            </a:ln>
          </c:spPr>
          <c:invertIfNegative val="0"/>
          <c:cat>
            <c:strRef>
              <c:f>'calcoli ClienteD'!$A$48:$A$50</c:f>
              <c:strCache>
                <c:ptCount val="3"/>
                <c:pt idx="0">
                  <c:v>Bedarf</c:v>
                </c:pt>
                <c:pt idx="1">
                  <c:v>AHV + BVG:</c:v>
                </c:pt>
                <c:pt idx="2">
                  <c:v>Mit Splitting:</c:v>
                </c:pt>
              </c:strCache>
            </c:strRef>
          </c:cat>
          <c:val>
            <c:numRef>
              <c:f>'calcoli ClienteD'!$C$48:$C$50</c:f>
              <c:numCache>
                <c:formatCode>_-* #,##0.00" CHF"_-;\-* #,##0.00" CHF"_-;_-* \-??" CHF"_-;_-@_-</c:formatCode>
                <c:ptCount val="3"/>
                <c:pt idx="1">
                  <c:v>0</c:v>
                </c:pt>
                <c:pt idx="2">
                  <c:v>0</c:v>
                </c:pt>
              </c:numCache>
            </c:numRef>
          </c:val>
          <c:extLst>
            <c:ext xmlns:c16="http://schemas.microsoft.com/office/drawing/2014/chart" uri="{C3380CC4-5D6E-409C-BE32-E72D297353CC}">
              <c16:uniqueId val="{00000001-8B2C-454E-99D6-58E52EB9DC35}"/>
            </c:ext>
          </c:extLst>
        </c:ser>
        <c:ser>
          <c:idx val="2"/>
          <c:order val="2"/>
          <c:tx>
            <c:strRef>
              <c:f>'calcoli ClienteD'!$D$47</c:f>
              <c:strCache>
                <c:ptCount val="1"/>
                <c:pt idx="0">
                  <c:v>Lücken</c:v>
                </c:pt>
              </c:strCache>
            </c:strRef>
          </c:tx>
          <c:spPr>
            <a:solidFill>
              <a:srgbClr val="FF0000"/>
            </a:solidFill>
            <a:ln w="25400">
              <a:noFill/>
            </a:ln>
          </c:spPr>
          <c:invertIfNegative val="0"/>
          <c:cat>
            <c:strRef>
              <c:f>'calcoli ClienteD'!$A$48:$A$50</c:f>
              <c:strCache>
                <c:ptCount val="3"/>
                <c:pt idx="0">
                  <c:v>Bedarf</c:v>
                </c:pt>
                <c:pt idx="1">
                  <c:v>AHV + BVG:</c:v>
                </c:pt>
                <c:pt idx="2">
                  <c:v>Mit Splitting:</c:v>
                </c:pt>
              </c:strCache>
            </c:strRef>
          </c:cat>
          <c:val>
            <c:numRef>
              <c:f>'calcoli ClienteD'!$D$48:$D$50</c:f>
              <c:numCache>
                <c:formatCode>_-* #,##0.00" CHF"_-;\-* #,##0.00" CHF"_-;_-* \-??" CHF"_-;_-@_-</c:formatCode>
                <c:ptCount val="3"/>
                <c:pt idx="0" formatCode="General">
                  <c:v>0</c:v>
                </c:pt>
                <c:pt idx="1">
                  <c:v>0</c:v>
                </c:pt>
                <c:pt idx="2">
                  <c:v>0</c:v>
                </c:pt>
              </c:numCache>
            </c:numRef>
          </c:val>
          <c:extLst>
            <c:ext xmlns:c16="http://schemas.microsoft.com/office/drawing/2014/chart" uri="{C3380CC4-5D6E-409C-BE32-E72D297353CC}">
              <c16:uniqueId val="{00000002-8B2C-454E-99D6-58E52EB9DC35}"/>
            </c:ext>
          </c:extLst>
        </c:ser>
        <c:dLbls>
          <c:showLegendKey val="0"/>
          <c:showVal val="0"/>
          <c:showCatName val="0"/>
          <c:showSerName val="0"/>
          <c:showPercent val="0"/>
          <c:showBubbleSize val="0"/>
        </c:dLbls>
        <c:gapWidth val="100"/>
        <c:overlap val="100"/>
        <c:axId val="1266008191"/>
        <c:axId val="1"/>
      </c:barChart>
      <c:catAx>
        <c:axId val="1266008191"/>
        <c:scaling>
          <c:orientation val="minMax"/>
        </c:scaling>
        <c:delete val="0"/>
        <c:axPos val="b"/>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B3B3B3"/>
              </a:solidFill>
              <a:prstDash val="solid"/>
            </a:ln>
          </c:spPr>
        </c:majorGridlines>
        <c:numFmt formatCode="0%"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it-CH"/>
          </a:p>
        </c:txPr>
        <c:crossAx val="1266008191"/>
        <c:crossesAt val="1"/>
        <c:crossBetween val="between"/>
      </c:valAx>
      <c:spPr>
        <a:noFill/>
        <a:ln w="3175">
          <a:solidFill>
            <a:srgbClr val="B3B3B3"/>
          </a:solidFill>
          <a:prstDash val="solid"/>
        </a:ln>
      </c:spPr>
    </c:plotArea>
    <c:legend>
      <c:legendPos val="b"/>
      <c:layout>
        <c:manualLayout>
          <c:xMode val="edge"/>
          <c:yMode val="edge"/>
          <c:x val="0.28966458503031944"/>
          <c:y val="0.13548691897383794"/>
          <c:w val="0.46725604127070319"/>
          <c:h val="5.161434366158773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it-CH"/>
        </a:p>
      </c:txPr>
    </c:legend>
    <c:plotVisOnly val="1"/>
    <c:dispBlanksAs val="gap"/>
    <c:showDLblsOverMax val="0"/>
  </c:chart>
  <c:spPr>
    <a:solidFill>
      <a:srgbClr val="F2F2F2"/>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alignWithMargins="0"/>
    <c:pageMargins b="1" l="0.75" r="0.75" t="1" header="0.51180555555555551" footer="0.51180555555555551"/>
    <c:pageSetup firstPageNumber="0"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0141024848692"/>
          <c:y val="0.13661703403618616"/>
          <c:w val="0.76192947105432396"/>
          <c:h val="0.6229736752050089"/>
        </c:manualLayout>
      </c:layout>
      <c:barChart>
        <c:barDir val="col"/>
        <c:grouping val="stacked"/>
        <c:varyColors val="0"/>
        <c:ser>
          <c:idx val="0"/>
          <c:order val="0"/>
          <c:tx>
            <c:strRef>
              <c:f>'FINANZIABILITÀ INTEGRATA'!$B$27</c:f>
              <c:strCache>
                <c:ptCount val="1"/>
                <c:pt idx="0">
                  <c:v>cash + 3a/b</c:v>
                </c:pt>
              </c:strCache>
            </c:strRef>
          </c:tx>
          <c:spPr>
            <a:solidFill>
              <a:srgbClr val="4F81BD"/>
            </a:solidFill>
            <a:ln w="25400">
              <a:noFill/>
            </a:ln>
          </c:spPr>
          <c:invertIfNegative val="0"/>
          <c:cat>
            <c:numRef>
              <c:f>'FINANZIABILITÀ INTEGRATA'!$A$28:$A$33</c:f>
              <c:numCache>
                <c:formatCode>General</c:formatCode>
                <c:ptCount val="6"/>
                <c:pt idx="0">
                  <c:v>2025</c:v>
                </c:pt>
                <c:pt idx="1">
                  <c:v>2026</c:v>
                </c:pt>
                <c:pt idx="2">
                  <c:v>2027</c:v>
                </c:pt>
                <c:pt idx="3">
                  <c:v>2028</c:v>
                </c:pt>
                <c:pt idx="4">
                  <c:v>2029</c:v>
                </c:pt>
                <c:pt idx="5">
                  <c:v>2030</c:v>
                </c:pt>
              </c:numCache>
            </c:numRef>
          </c:cat>
          <c:val>
            <c:numRef>
              <c:f>'FINANZIABILITÀ INTEGRATA'!$B$28:$B$33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D3E-4931-AB15-64A373372FF9}"/>
            </c:ext>
          </c:extLst>
        </c:ser>
        <c:ser>
          <c:idx val="1"/>
          <c:order val="1"/>
          <c:tx>
            <c:strRef>
              <c:f>'FINANZIABILITÀ INTEGRATA'!$C$27</c:f>
              <c:strCache>
                <c:ptCount val="1"/>
                <c:pt idx="0">
                  <c:v>LPP</c:v>
                </c:pt>
              </c:strCache>
            </c:strRef>
          </c:tx>
          <c:spPr>
            <a:solidFill>
              <a:srgbClr val="C0504D"/>
            </a:solidFill>
            <a:ln w="25400">
              <a:noFill/>
            </a:ln>
          </c:spPr>
          <c:invertIfNegative val="0"/>
          <c:cat>
            <c:numRef>
              <c:f>'FINANZIABILITÀ INTEGRATA'!$A$28:$A$33</c:f>
              <c:numCache>
                <c:formatCode>General</c:formatCode>
                <c:ptCount val="6"/>
                <c:pt idx="0">
                  <c:v>2025</c:v>
                </c:pt>
                <c:pt idx="1">
                  <c:v>2026</c:v>
                </c:pt>
                <c:pt idx="2">
                  <c:v>2027</c:v>
                </c:pt>
                <c:pt idx="3">
                  <c:v>2028</c:v>
                </c:pt>
                <c:pt idx="4">
                  <c:v>2029</c:v>
                </c:pt>
                <c:pt idx="5">
                  <c:v>2030</c:v>
                </c:pt>
              </c:numCache>
            </c:numRef>
          </c:cat>
          <c:val>
            <c:numRef>
              <c:f>'FINANZIABILITÀ INTEGRATA'!$C$28:$C$33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D3E-4931-AB15-64A373372FF9}"/>
            </c:ext>
          </c:extLst>
        </c:ser>
        <c:ser>
          <c:idx val="2"/>
          <c:order val="2"/>
          <c:tx>
            <c:strRef>
              <c:f>'FINANZIABILITÀ INTEGRATA'!$D$27</c:f>
              <c:strCache>
                <c:ptCount val="1"/>
                <c:pt idx="0">
                  <c:v>Finanziamento</c:v>
                </c:pt>
              </c:strCache>
            </c:strRef>
          </c:tx>
          <c:spPr>
            <a:solidFill>
              <a:srgbClr val="9BBB59"/>
            </a:solidFill>
            <a:ln w="25400">
              <a:noFill/>
            </a:ln>
          </c:spPr>
          <c:invertIfNegative val="0"/>
          <c:cat>
            <c:numRef>
              <c:f>'FINANZIABILITÀ INTEGRATA'!$A$28:$A$33</c:f>
              <c:numCache>
                <c:formatCode>General</c:formatCode>
                <c:ptCount val="6"/>
                <c:pt idx="0">
                  <c:v>2025</c:v>
                </c:pt>
                <c:pt idx="1">
                  <c:v>2026</c:v>
                </c:pt>
                <c:pt idx="2">
                  <c:v>2027</c:v>
                </c:pt>
                <c:pt idx="3">
                  <c:v>2028</c:v>
                </c:pt>
                <c:pt idx="4">
                  <c:v>2029</c:v>
                </c:pt>
                <c:pt idx="5">
                  <c:v>2030</c:v>
                </c:pt>
              </c:numCache>
            </c:numRef>
          </c:cat>
          <c:val>
            <c:numRef>
              <c:f>'FINANZIABILITÀ INTEGRATA'!$D$28:$D$33</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D3E-4931-AB15-64A373372FF9}"/>
            </c:ext>
          </c:extLst>
        </c:ser>
        <c:dLbls>
          <c:showLegendKey val="0"/>
          <c:showVal val="0"/>
          <c:showCatName val="0"/>
          <c:showSerName val="0"/>
          <c:showPercent val="0"/>
          <c:showBubbleSize val="0"/>
        </c:dLbls>
        <c:gapWidth val="150"/>
        <c:overlap val="100"/>
        <c:axId val="1265399967"/>
        <c:axId val="1"/>
      </c:barChart>
      <c:catAx>
        <c:axId val="1265399967"/>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12700">
              <a:solidFill>
                <a:srgbClr val="878787"/>
              </a:solidFill>
              <a:prstDash val="solid"/>
            </a:ln>
          </c:spPr>
        </c:majorGridlines>
        <c:numFmt formatCode="#,##0&quot;   &quot;"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265399967"/>
        <c:crossesAt val="1"/>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3552192899896"/>
          <c:y val="0.13736696767114026"/>
          <c:w val="0.85788417543199169"/>
          <c:h val="0.62089869387355401"/>
        </c:manualLayout>
      </c:layout>
      <c:barChart>
        <c:barDir val="col"/>
        <c:grouping val="stacked"/>
        <c:varyColors val="0"/>
        <c:ser>
          <c:idx val="0"/>
          <c:order val="0"/>
          <c:tx>
            <c:strRef>
              <c:f>'FINANZIABILITÀ INTEGRATA'!$B$16</c:f>
              <c:strCache>
                <c:ptCount val="1"/>
                <c:pt idx="0">
                  <c:v>cash + 3a/b</c:v>
                </c:pt>
              </c:strCache>
            </c:strRef>
          </c:tx>
          <c:spPr>
            <a:solidFill>
              <a:srgbClr val="4F81BD"/>
            </a:solidFill>
            <a:ln w="25400">
              <a:noFill/>
            </a:ln>
          </c:spPr>
          <c:invertIfNegative val="0"/>
          <c:cat>
            <c:numRef>
              <c:f>'FINANZIABILITÀ INTEGRATA'!$A$17:$A$22</c:f>
              <c:numCache>
                <c:formatCode>General</c:formatCode>
                <c:ptCount val="6"/>
                <c:pt idx="0">
                  <c:v>2025</c:v>
                </c:pt>
                <c:pt idx="1">
                  <c:v>2026</c:v>
                </c:pt>
                <c:pt idx="2">
                  <c:v>2027</c:v>
                </c:pt>
                <c:pt idx="3">
                  <c:v>2028</c:v>
                </c:pt>
                <c:pt idx="4">
                  <c:v>2029</c:v>
                </c:pt>
                <c:pt idx="5">
                  <c:v>2030</c:v>
                </c:pt>
              </c:numCache>
            </c:numRef>
          </c:cat>
          <c:val>
            <c:numRef>
              <c:f>'FINANZIABILITÀ INTEGRATA'!$B$17:$B$22</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63C-41FD-AC28-78B0A093F8FE}"/>
            </c:ext>
          </c:extLst>
        </c:ser>
        <c:ser>
          <c:idx val="1"/>
          <c:order val="1"/>
          <c:tx>
            <c:strRef>
              <c:f>'FINANZIABILITÀ INTEGRATA'!$C$16</c:f>
              <c:strCache>
                <c:ptCount val="1"/>
                <c:pt idx="0">
                  <c:v>LPP</c:v>
                </c:pt>
              </c:strCache>
            </c:strRef>
          </c:tx>
          <c:spPr>
            <a:solidFill>
              <a:srgbClr val="C0504D"/>
            </a:solidFill>
            <a:ln w="25400">
              <a:noFill/>
            </a:ln>
          </c:spPr>
          <c:invertIfNegative val="0"/>
          <c:cat>
            <c:numRef>
              <c:f>'FINANZIABILITÀ INTEGRATA'!$A$17:$A$22</c:f>
              <c:numCache>
                <c:formatCode>General</c:formatCode>
                <c:ptCount val="6"/>
                <c:pt idx="0">
                  <c:v>2025</c:v>
                </c:pt>
                <c:pt idx="1">
                  <c:v>2026</c:v>
                </c:pt>
                <c:pt idx="2">
                  <c:v>2027</c:v>
                </c:pt>
                <c:pt idx="3">
                  <c:v>2028</c:v>
                </c:pt>
                <c:pt idx="4">
                  <c:v>2029</c:v>
                </c:pt>
                <c:pt idx="5">
                  <c:v>2030</c:v>
                </c:pt>
              </c:numCache>
            </c:numRef>
          </c:cat>
          <c:val>
            <c:numRef>
              <c:f>'FINANZIABILITÀ INTEGRATA'!$C$17:$C$22</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63C-41FD-AC28-78B0A093F8FE}"/>
            </c:ext>
          </c:extLst>
        </c:ser>
        <c:ser>
          <c:idx val="2"/>
          <c:order val="2"/>
          <c:tx>
            <c:strRef>
              <c:f>'FINANZIABILITÀ INTEGRATA'!$D$16</c:f>
              <c:strCache>
                <c:ptCount val="1"/>
                <c:pt idx="0">
                  <c:v>Finanziamento</c:v>
                </c:pt>
              </c:strCache>
            </c:strRef>
          </c:tx>
          <c:spPr>
            <a:solidFill>
              <a:srgbClr val="9BBB59"/>
            </a:solidFill>
            <a:ln w="25400">
              <a:noFill/>
            </a:ln>
          </c:spPr>
          <c:invertIfNegative val="0"/>
          <c:cat>
            <c:numRef>
              <c:f>'FINANZIABILITÀ INTEGRATA'!$A$17:$A$22</c:f>
              <c:numCache>
                <c:formatCode>General</c:formatCode>
                <c:ptCount val="6"/>
                <c:pt idx="0">
                  <c:v>2025</c:v>
                </c:pt>
                <c:pt idx="1">
                  <c:v>2026</c:v>
                </c:pt>
                <c:pt idx="2">
                  <c:v>2027</c:v>
                </c:pt>
                <c:pt idx="3">
                  <c:v>2028</c:v>
                </c:pt>
                <c:pt idx="4">
                  <c:v>2029</c:v>
                </c:pt>
                <c:pt idx="5">
                  <c:v>2030</c:v>
                </c:pt>
              </c:numCache>
            </c:numRef>
          </c:cat>
          <c:val>
            <c:numRef>
              <c:f>'FINANZIABILITÀ INTEGRATA'!$D$17:$D$22</c:f>
              <c:numCache>
                <c:formatCode>#,##0"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663C-41FD-AC28-78B0A093F8FE}"/>
            </c:ext>
          </c:extLst>
        </c:ser>
        <c:dLbls>
          <c:showLegendKey val="0"/>
          <c:showVal val="0"/>
          <c:showCatName val="0"/>
          <c:showSerName val="0"/>
          <c:showPercent val="0"/>
          <c:showBubbleSize val="0"/>
        </c:dLbls>
        <c:gapWidth val="150"/>
        <c:overlap val="100"/>
        <c:axId val="1265392287"/>
        <c:axId val="1"/>
      </c:barChart>
      <c:catAx>
        <c:axId val="1265392287"/>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
        <c:crossesAt val="0"/>
        <c:auto val="1"/>
        <c:lblAlgn val="ctr"/>
        <c:lblOffset val="100"/>
        <c:tickLblSkip val="1"/>
        <c:tickMarkSkip val="1"/>
        <c:noMultiLvlLbl val="0"/>
      </c:catAx>
      <c:valAx>
        <c:axId val="1"/>
        <c:scaling>
          <c:orientation val="minMax"/>
        </c:scaling>
        <c:delete val="0"/>
        <c:axPos val="l"/>
        <c:majorGridlines>
          <c:spPr>
            <a:ln w="12700">
              <a:solidFill>
                <a:srgbClr val="878787"/>
              </a:solidFill>
              <a:prstDash val="solid"/>
            </a:ln>
          </c:spPr>
        </c:majorGridlines>
        <c:numFmt formatCode="#,##0&quot;   &quot;" sourceLinked="1"/>
        <c:majorTickMark val="out"/>
        <c:minorTickMark val="none"/>
        <c:tickLblPos val="nextTo"/>
        <c:spPr>
          <a:ln w="12700">
            <a:solidFill>
              <a:srgbClr val="878787"/>
            </a:solidFill>
            <a:prstDash val="solid"/>
          </a:ln>
        </c:spPr>
        <c:txPr>
          <a:bodyPr rot="0" vert="horz"/>
          <a:lstStyle/>
          <a:p>
            <a:pPr rtl="0">
              <a:defRPr sz="1000" b="0" i="0" u="none" strike="noStrike" baseline="0">
                <a:solidFill>
                  <a:srgbClr val="000000"/>
                </a:solidFill>
                <a:latin typeface="Calibri"/>
                <a:ea typeface="Calibri"/>
                <a:cs typeface="Calibri"/>
              </a:defRPr>
            </a:pPr>
            <a:endParaRPr lang="it-CH"/>
          </a:p>
        </c:txPr>
        <c:crossAx val="1265392287"/>
        <c:crossesAt val="1"/>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it-CH"/>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Partner'!$Q$47</c:f>
              <c:strCache>
                <c:ptCount val="1"/>
                <c:pt idx="0">
                  <c:v>AVS</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AEDD-42B7-9264-E67636992976}"/>
              </c:ext>
            </c:extLst>
          </c:dPt>
          <c:dPt>
            <c:idx val="1"/>
            <c:invertIfNegative val="0"/>
            <c:bubble3D val="0"/>
            <c:spPr>
              <a:solidFill>
                <a:srgbClr val="2F5291"/>
              </a:solidFill>
              <a:ln>
                <a:noFill/>
              </a:ln>
              <a:effectLst/>
            </c:spPr>
            <c:extLst>
              <c:ext xmlns:c16="http://schemas.microsoft.com/office/drawing/2014/chart" uri="{C3380CC4-5D6E-409C-BE32-E72D297353CC}">
                <c16:uniqueId val="{00000003-AEDD-42B7-9264-E67636992976}"/>
              </c:ext>
            </c:extLst>
          </c:dPt>
          <c:dPt>
            <c:idx val="2"/>
            <c:invertIfNegative val="0"/>
            <c:bubble3D val="0"/>
            <c:spPr>
              <a:solidFill>
                <a:srgbClr val="4B77C5"/>
              </a:solidFill>
              <a:ln>
                <a:noFill/>
              </a:ln>
              <a:effectLst/>
            </c:spPr>
            <c:extLst>
              <c:ext xmlns:c16="http://schemas.microsoft.com/office/drawing/2014/chart" uri="{C3380CC4-5D6E-409C-BE32-E72D297353CC}">
                <c16:uniqueId val="{00000005-AEDD-42B7-9264-E67636992976}"/>
              </c:ext>
            </c:extLst>
          </c:dPt>
          <c:dPt>
            <c:idx val="3"/>
            <c:invertIfNegative val="0"/>
            <c:bubble3D val="0"/>
            <c:spPr>
              <a:solidFill>
                <a:srgbClr val="4B77C5"/>
              </a:solidFill>
              <a:ln>
                <a:noFill/>
              </a:ln>
              <a:effectLst/>
            </c:spPr>
            <c:extLst>
              <c:ext xmlns:c16="http://schemas.microsoft.com/office/drawing/2014/chart" uri="{C3380CC4-5D6E-409C-BE32-E72D297353CC}">
                <c16:uniqueId val="{00000007-AEDD-42B7-9264-E67636992976}"/>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Partner'!$Q$48:$Q$50</c:f>
              <c:numCache>
                <c:formatCode>#,##0</c:formatCode>
                <c:ptCount val="3"/>
                <c:pt idx="0">
                  <c:v>0</c:v>
                </c:pt>
                <c:pt idx="1">
                  <c:v>0</c:v>
                </c:pt>
                <c:pt idx="2">
                  <c:v>0</c:v>
                </c:pt>
              </c:numCache>
            </c:numRef>
          </c:val>
          <c:extLst>
            <c:ext xmlns:c16="http://schemas.microsoft.com/office/drawing/2014/chart" uri="{C3380CC4-5D6E-409C-BE32-E72D297353CC}">
              <c16:uniqueId val="{00000008-AEDD-42B7-9264-E67636992976}"/>
            </c:ext>
          </c:extLst>
        </c:ser>
        <c:ser>
          <c:idx val="1"/>
          <c:order val="1"/>
          <c:tx>
            <c:strRef>
              <c:f>'Calcoli Partner'!$R$47</c:f>
              <c:strCache>
                <c:ptCount val="1"/>
                <c:pt idx="0">
                  <c:v>LPP</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Partner'!$R$48:$R$50</c:f>
              <c:numCache>
                <c:formatCode>#,##0</c:formatCode>
                <c:ptCount val="3"/>
                <c:pt idx="1">
                  <c:v>0</c:v>
                </c:pt>
                <c:pt idx="2">
                  <c:v>0</c:v>
                </c:pt>
              </c:numCache>
            </c:numRef>
          </c:val>
          <c:extLst>
            <c:ext xmlns:c16="http://schemas.microsoft.com/office/drawing/2014/chart" uri="{C3380CC4-5D6E-409C-BE32-E72D297353CC}">
              <c16:uniqueId val="{00000009-AEDD-42B7-9264-E67636992976}"/>
            </c:ext>
          </c:extLst>
        </c:ser>
        <c:ser>
          <c:idx val="2"/>
          <c:order val="2"/>
          <c:tx>
            <c:strRef>
              <c:f>'Calcoli Partner'!$S$47</c:f>
              <c:strCache>
                <c:ptCount val="1"/>
                <c:pt idx="0">
                  <c:v>3. pilastro</c:v>
                </c:pt>
              </c:strCache>
            </c:strRef>
          </c:tx>
          <c:spPr>
            <a:solidFill>
              <a:srgbClr val="63DCD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Partner'!$S$48:$S$50</c:f>
              <c:numCache>
                <c:formatCode>#,##0</c:formatCode>
                <c:ptCount val="3"/>
              </c:numCache>
            </c:numRef>
          </c:val>
          <c:extLst>
            <c:ext xmlns:c16="http://schemas.microsoft.com/office/drawing/2014/chart" uri="{C3380CC4-5D6E-409C-BE32-E72D297353CC}">
              <c16:uniqueId val="{0000000A-AEDD-42B7-9264-E67636992976}"/>
            </c:ext>
          </c:extLst>
        </c:ser>
        <c:ser>
          <c:idx val="3"/>
          <c:order val="3"/>
          <c:tx>
            <c:strRef>
              <c:f>'Calcoli Partner'!$T$47</c:f>
              <c:strCache>
                <c:ptCount val="1"/>
                <c:pt idx="0">
                  <c:v>Lacune</c:v>
                </c:pt>
              </c:strCache>
            </c:strRef>
          </c:tx>
          <c:spPr>
            <a:solidFill>
              <a:srgbClr val="FF0000">
                <a:alpha val="65098"/>
              </a:srgbClr>
            </a:solidFill>
            <a:ln>
              <a:noFill/>
            </a:ln>
            <a:effectLst/>
          </c:spPr>
          <c:invertIfNegative val="0"/>
          <c:dLbls>
            <c:dLbl>
              <c:idx val="0"/>
              <c:layout>
                <c:manualLayout>
                  <c:x val="-6.9516857838025723E-3"/>
                  <c:y val="3.0860528356171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DD-42B7-9264-E67636992976}"/>
                </c:ext>
              </c:extLst>
            </c:dLbl>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Partner'!$P$48:$P$50</c:f>
              <c:strCache>
                <c:ptCount val="3"/>
                <c:pt idx="0">
                  <c:v>Fabbisogno mensile</c:v>
                </c:pt>
                <c:pt idx="1">
                  <c:v>Pensione (senza Splitting:)</c:v>
                </c:pt>
                <c:pt idx="2">
                  <c:v>Con splitting:</c:v>
                </c:pt>
              </c:strCache>
            </c:strRef>
          </c:cat>
          <c:val>
            <c:numRef>
              <c:f>'Calcoli Partner'!$T$48:$T$50</c:f>
              <c:numCache>
                <c:formatCode>#,##0</c:formatCode>
                <c:ptCount val="3"/>
                <c:pt idx="1">
                  <c:v>0</c:v>
                </c:pt>
                <c:pt idx="2">
                  <c:v>0</c:v>
                </c:pt>
              </c:numCache>
            </c:numRef>
          </c:val>
          <c:extLst>
            <c:ext xmlns:c16="http://schemas.microsoft.com/office/drawing/2014/chart" uri="{C3380CC4-5D6E-409C-BE32-E72D297353CC}">
              <c16:uniqueId val="{0000000C-AEDD-42B7-9264-E67636992976}"/>
            </c:ext>
          </c:extLst>
        </c:ser>
        <c:dLbls>
          <c:showLegendKey val="0"/>
          <c:showVal val="0"/>
          <c:showCatName val="0"/>
          <c:showSerName val="0"/>
          <c:showPercent val="0"/>
          <c:showBubbleSize val="0"/>
        </c:dLbls>
        <c:gapWidth val="100"/>
        <c:overlap val="100"/>
        <c:axId val="1831527327"/>
        <c:axId val="1831523007"/>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544345219746"/>
          <c:y val="4.0531982267257759E-2"/>
          <c:w val="0.88368214732400474"/>
          <c:h val="0.72459016720440017"/>
        </c:manualLayout>
      </c:layout>
      <c:barChart>
        <c:barDir val="col"/>
        <c:grouping val="percentStacked"/>
        <c:varyColors val="0"/>
        <c:ser>
          <c:idx val="0"/>
          <c:order val="0"/>
          <c:tx>
            <c:strRef>
              <c:f>'Calcoli Partner'!$K$37</c:f>
              <c:strCache>
                <c:ptCount val="1"/>
                <c:pt idx="0">
                  <c:v>Redditi / Rendite 1. e 2. pilastro</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53AA-4263-B06E-A2096D2DB66E}"/>
              </c:ext>
            </c:extLst>
          </c:dPt>
          <c:dPt>
            <c:idx val="1"/>
            <c:invertIfNegative val="0"/>
            <c:bubble3D val="0"/>
            <c:spPr>
              <a:solidFill>
                <a:srgbClr val="63DCDB"/>
              </a:solidFill>
              <a:ln>
                <a:noFill/>
              </a:ln>
              <a:effectLst/>
            </c:spPr>
            <c:extLst>
              <c:ext xmlns:c16="http://schemas.microsoft.com/office/drawing/2014/chart" uri="{C3380CC4-5D6E-409C-BE32-E72D297353CC}">
                <c16:uniqueId val="{00000003-53AA-4263-B06E-A2096D2DB66E}"/>
              </c:ext>
            </c:extLst>
          </c:dPt>
          <c:dPt>
            <c:idx val="2"/>
            <c:invertIfNegative val="0"/>
            <c:bubble3D val="0"/>
            <c:spPr>
              <a:solidFill>
                <a:srgbClr val="4B77C5"/>
              </a:solidFill>
              <a:ln>
                <a:noFill/>
              </a:ln>
              <a:effectLst/>
            </c:spPr>
            <c:extLst>
              <c:ext xmlns:c16="http://schemas.microsoft.com/office/drawing/2014/chart" uri="{C3380CC4-5D6E-409C-BE32-E72D297353CC}">
                <c16:uniqueId val="{00000005-53AA-4263-B06E-A2096D2DB66E}"/>
              </c:ext>
            </c:extLst>
          </c:dPt>
          <c:dPt>
            <c:idx val="3"/>
            <c:invertIfNegative val="0"/>
            <c:bubble3D val="0"/>
            <c:spPr>
              <a:solidFill>
                <a:srgbClr val="4B77C5"/>
              </a:solidFill>
              <a:ln>
                <a:noFill/>
              </a:ln>
              <a:effectLst/>
            </c:spPr>
            <c:extLst>
              <c:ext xmlns:c16="http://schemas.microsoft.com/office/drawing/2014/chart" uri="{C3380CC4-5D6E-409C-BE32-E72D297353CC}">
                <c16:uniqueId val="{00000007-53AA-4263-B06E-A2096D2DB66E}"/>
              </c:ext>
            </c:extLst>
          </c:dPt>
          <c:dLbls>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mn-lt"/>
                      <a:ea typeface="+mn-ea"/>
                      <a:cs typeface="+mn-cs"/>
                    </a:defRPr>
                  </a:pPr>
                  <a:endParaRPr lang="it-CH"/>
                </a:p>
              </c:txPr>
              <c:dLblPos val="ctr"/>
              <c:showLegendKey val="0"/>
              <c:showVal val="1"/>
              <c:showCatName val="0"/>
              <c:showSerName val="0"/>
              <c:showPercent val="0"/>
              <c:showBubbleSize val="0"/>
              <c:extLst>
                <c:ext xmlns:c16="http://schemas.microsoft.com/office/drawing/2014/chart" uri="{C3380CC4-5D6E-409C-BE32-E72D297353CC}">
                  <c16:uniqueId val="{00000003-53AA-4263-B06E-A2096D2DB6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Partner'!$J$38:$J$40</c:f>
              <c:strCache>
                <c:ptCount val="3"/>
                <c:pt idx="0">
                  <c:v>Fabbisogno mensile</c:v>
                </c:pt>
                <c:pt idx="1">
                  <c:v>i.g. Inortunio</c:v>
                </c:pt>
                <c:pt idx="2">
                  <c:v>Inv. Infortunio</c:v>
                </c:pt>
              </c:strCache>
            </c:strRef>
          </c:cat>
          <c:val>
            <c:numRef>
              <c:f>'Calcoli Partner'!$K$38:$K$40</c:f>
              <c:numCache>
                <c:formatCode>#,##0</c:formatCode>
                <c:ptCount val="3"/>
                <c:pt idx="0">
                  <c:v>0</c:v>
                </c:pt>
                <c:pt idx="1">
                  <c:v>0</c:v>
                </c:pt>
                <c:pt idx="2">
                  <c:v>0</c:v>
                </c:pt>
              </c:numCache>
            </c:numRef>
          </c:val>
          <c:extLst>
            <c:ext xmlns:c16="http://schemas.microsoft.com/office/drawing/2014/chart" uri="{C3380CC4-5D6E-409C-BE32-E72D297353CC}">
              <c16:uniqueId val="{00000008-53AA-4263-B06E-A2096D2DB66E}"/>
            </c:ext>
          </c:extLst>
        </c:ser>
        <c:ser>
          <c:idx val="2"/>
          <c:order val="2"/>
          <c:tx>
            <c:strRef>
              <c:f>'Calcoli Partner'!$M$37</c:f>
              <c:strCache>
                <c:ptCount val="1"/>
                <c:pt idx="0">
                  <c:v>Lacune</c:v>
                </c:pt>
              </c:strCache>
            </c:strRef>
          </c:tx>
          <c:spPr>
            <a:solidFill>
              <a:srgbClr val="FF0000">
                <a:alpha val="65098"/>
              </a:srgb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it-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'Calcoli Partner'!$J$38:$J$40</c:f>
              <c:strCache>
                <c:ptCount val="3"/>
                <c:pt idx="0">
                  <c:v>Fabbisogno mensile</c:v>
                </c:pt>
                <c:pt idx="1">
                  <c:v>i.g. Inortunio</c:v>
                </c:pt>
                <c:pt idx="2">
                  <c:v>Inv. Infortunio</c:v>
                </c:pt>
              </c:strCache>
            </c:strRef>
          </c:cat>
          <c:val>
            <c:numRef>
              <c:f>'Calcoli Partner'!$M$38:$M$40</c:f>
              <c:numCache>
                <c:formatCode>#,##0</c:formatCode>
                <c:ptCount val="3"/>
                <c:pt idx="1">
                  <c:v>0</c:v>
                </c:pt>
                <c:pt idx="2">
                  <c:v>0</c:v>
                </c:pt>
              </c:numCache>
            </c:numRef>
          </c:val>
          <c:extLst>
            <c:ext xmlns:c16="http://schemas.microsoft.com/office/drawing/2014/chart" uri="{C3380CC4-5D6E-409C-BE32-E72D297353CC}">
              <c16:uniqueId val="{0000000A-53AA-4263-B06E-A2096D2DB66E}"/>
            </c:ext>
          </c:extLst>
        </c:ser>
        <c:dLbls>
          <c:showLegendKey val="0"/>
          <c:showVal val="0"/>
          <c:showCatName val="0"/>
          <c:showSerName val="0"/>
          <c:showPercent val="0"/>
          <c:showBubbleSize val="0"/>
        </c:dLbls>
        <c:gapWidth val="100"/>
        <c:overlap val="100"/>
        <c:axId val="1831527327"/>
        <c:axId val="1831523007"/>
        <c:extLst>
          <c:ext xmlns:c15="http://schemas.microsoft.com/office/drawing/2012/chart" uri="{02D57815-91ED-43cb-92C2-25804820EDAC}">
            <c15:filteredBarSeries>
              <c15:ser>
                <c:idx val="1"/>
                <c:order val="1"/>
                <c:tx>
                  <c:strRef>
                    <c:extLst>
                      <c:ext uri="{02D57815-91ED-43cb-92C2-25804820EDAC}">
                        <c15:formulaRef>
                          <c15:sqref>'Calcoli Partner'!$L$37</c15:sqref>
                        </c15:formulaRef>
                      </c:ext>
                    </c:extLst>
                    <c:strCache>
                      <c:ptCount val="1"/>
                      <c:pt idx="0">
                        <c:v>3. pilastro</c:v>
                      </c:pt>
                    </c:strCache>
                  </c:strRef>
                </c:tx>
                <c:spPr>
                  <a:solidFill>
                    <a:srgbClr val="7D9C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lt1"/>
                          </a:solidFill>
                          <a:latin typeface="+mn-lt"/>
                          <a:ea typeface="+mn-ea"/>
                          <a:cs typeface="+mn-cs"/>
                        </a:defRPr>
                      </a:pPr>
                      <a:endParaRPr lang="it-CH"/>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'Calcoli Partner'!$J$38:$J$40</c15:sqref>
                        </c15:formulaRef>
                      </c:ext>
                    </c:extLst>
                    <c:strCache>
                      <c:ptCount val="3"/>
                      <c:pt idx="0">
                        <c:v>Fabbisogno mensile</c:v>
                      </c:pt>
                      <c:pt idx="1">
                        <c:v>i.g. Inortunio</c:v>
                      </c:pt>
                      <c:pt idx="2">
                        <c:v>Inv. Infortunio</c:v>
                      </c:pt>
                    </c:strCache>
                  </c:strRef>
                </c:cat>
                <c:val>
                  <c:numRef>
                    <c:extLst>
                      <c:ext uri="{02D57815-91ED-43cb-92C2-25804820EDAC}">
                        <c15:formulaRef>
                          <c15:sqref>'Calcoli Partner'!$L$38:$L$40</c15:sqref>
                        </c15:formulaRef>
                      </c:ext>
                    </c:extLst>
                    <c:numCache>
                      <c:formatCode>#,##0</c:formatCode>
                      <c:ptCount val="3"/>
                    </c:numCache>
                  </c:numRef>
                </c:val>
                <c:extLst>
                  <c:ext xmlns:c16="http://schemas.microsoft.com/office/drawing/2014/chart" uri="{C3380CC4-5D6E-409C-BE32-E72D297353CC}">
                    <c16:uniqueId val="{00000009-53AA-4263-B06E-A2096D2DB66E}"/>
                  </c:ext>
                </c:extLst>
              </c15:ser>
            </c15:filteredBarSeries>
          </c:ext>
        </c:extLst>
      </c:barChart>
      <c:catAx>
        <c:axId val="1831527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it-CH"/>
          </a:p>
        </c:txPr>
        <c:crossAx val="1831523007"/>
        <c:crosses val="autoZero"/>
        <c:auto val="1"/>
        <c:lblAlgn val="ctr"/>
        <c:lblOffset val="100"/>
        <c:noMultiLvlLbl val="0"/>
      </c:catAx>
      <c:valAx>
        <c:axId val="1831523007"/>
        <c:scaling>
          <c:orientation val="minMax"/>
        </c:scaling>
        <c:delete val="1"/>
        <c:axPos val="l"/>
        <c:numFmt formatCode="0%" sourceLinked="1"/>
        <c:majorTickMark val="none"/>
        <c:minorTickMark val="none"/>
        <c:tickLblPos val="nextTo"/>
        <c:crossAx val="183152732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0" i="0" u="none" strike="noStrike" kern="1200" baseline="0">
                <a:solidFill>
                  <a:schemeClr val="accent1">
                    <a:lumMod val="50000"/>
                  </a:schemeClr>
                </a:solidFill>
                <a:latin typeface="+mn-lt"/>
                <a:ea typeface="+mn-ea"/>
                <a:cs typeface="+mn-cs"/>
              </a:defRPr>
            </a:pPr>
            <a:endParaRPr lang="it-CH"/>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tx1">
          <a:lumMod val="15000"/>
          <a:lumOff val="85000"/>
        </a:schemeClr>
      </a:solidFill>
      <a:round/>
    </a:ln>
    <a:effectLst/>
  </c:spPr>
  <c:txPr>
    <a:bodyPr/>
    <a:lstStyle/>
    <a:p>
      <a:pPr>
        <a:defRPr sz="1000" baseline="0"/>
      </a:pPr>
      <a:endParaRPr lang="it-CH"/>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8.png"/><Relationship Id="rId1" Type="http://schemas.openxmlformats.org/officeDocument/2006/relationships/chart" Target="../charts/chart4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8.pn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52.xml"/><Relationship Id="rId1" Type="http://schemas.openxmlformats.org/officeDocument/2006/relationships/chart" Target="../charts/chart5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3" Type="http://schemas.openxmlformats.org/officeDocument/2006/relationships/image" Target="../media/image7.png"/><Relationship Id="rId7" Type="http://schemas.openxmlformats.org/officeDocument/2006/relationships/chart" Target="../charts/chart61.xml"/><Relationship Id="rId12" Type="http://schemas.openxmlformats.org/officeDocument/2006/relationships/chart" Target="../charts/chart66.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8.png"/><Relationship Id="rId1" Type="http://schemas.openxmlformats.org/officeDocument/2006/relationships/chart" Target="../charts/chart6.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image" Target="../media/image7.png"/><Relationship Id="rId7" Type="http://schemas.openxmlformats.org/officeDocument/2006/relationships/chart" Target="../charts/chart16.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7.png"/><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editAs="oneCell">
    <xdr:from>
      <xdr:col>3</xdr:col>
      <xdr:colOff>617683</xdr:colOff>
      <xdr:row>1</xdr:row>
      <xdr:rowOff>40408</xdr:rowOff>
    </xdr:from>
    <xdr:to>
      <xdr:col>8</xdr:col>
      <xdr:colOff>288637</xdr:colOff>
      <xdr:row>7</xdr:row>
      <xdr:rowOff>154208</xdr:rowOff>
    </xdr:to>
    <xdr:pic>
      <xdr:nvPicPr>
        <xdr:cNvPr id="2" name="Grafik 1">
          <a:extLst>
            <a:ext uri="{FF2B5EF4-FFF2-40B4-BE49-F238E27FC236}">
              <a16:creationId xmlns:a16="http://schemas.microsoft.com/office/drawing/2014/main" id="{5783F18F-D064-4E53-BC9B-00120B3AE096}"/>
            </a:ext>
          </a:extLst>
        </xdr:cNvPr>
        <xdr:cNvPicPr>
          <a:picLocks noChangeAspect="1"/>
        </xdr:cNvPicPr>
      </xdr:nvPicPr>
      <xdr:blipFill rotWithShape="1">
        <a:blip xmlns:r="http://schemas.openxmlformats.org/officeDocument/2006/relationships" r:embed="rId1"/>
        <a:srcRect l="-4245" t="31344" r="-3603" b="29593"/>
        <a:stretch/>
      </xdr:blipFill>
      <xdr:spPr>
        <a:xfrm>
          <a:off x="4410365" y="548408"/>
          <a:ext cx="4087090" cy="14703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44450</xdr:colOff>
      <xdr:row>6</xdr:row>
      <xdr:rowOff>0</xdr:rowOff>
    </xdr:from>
    <xdr:to>
      <xdr:col>1</xdr:col>
      <xdr:colOff>3865562</xdr:colOff>
      <xdr:row>18</xdr:row>
      <xdr:rowOff>133350</xdr:rowOff>
    </xdr:to>
    <xdr:graphicFrame macro="">
      <xdr:nvGraphicFramePr>
        <xdr:cNvPr id="8652" name="Grafico 1">
          <a:extLst>
            <a:ext uri="{FF2B5EF4-FFF2-40B4-BE49-F238E27FC236}">
              <a16:creationId xmlns:a16="http://schemas.microsoft.com/office/drawing/2014/main" id="{C16B9AD1-C69F-583E-6431-28D3A7B8F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20</xdr:row>
      <xdr:rowOff>25400</xdr:rowOff>
    </xdr:from>
    <xdr:to>
      <xdr:col>1</xdr:col>
      <xdr:colOff>3873500</xdr:colOff>
      <xdr:row>33</xdr:row>
      <xdr:rowOff>63500</xdr:rowOff>
    </xdr:to>
    <xdr:graphicFrame macro="">
      <xdr:nvGraphicFramePr>
        <xdr:cNvPr id="8653" name="Grafico 2">
          <a:extLst>
            <a:ext uri="{FF2B5EF4-FFF2-40B4-BE49-F238E27FC236}">
              <a16:creationId xmlns:a16="http://schemas.microsoft.com/office/drawing/2014/main" id="{38AC743F-8F01-46FB-4D07-AFD4901A5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34</xdr:row>
      <xdr:rowOff>196850</xdr:rowOff>
    </xdr:from>
    <xdr:to>
      <xdr:col>1</xdr:col>
      <xdr:colOff>3873500</xdr:colOff>
      <xdr:row>49</xdr:row>
      <xdr:rowOff>152400</xdr:rowOff>
    </xdr:to>
    <xdr:graphicFrame macro="">
      <xdr:nvGraphicFramePr>
        <xdr:cNvPr id="8654" name="Grafico 3">
          <a:extLst>
            <a:ext uri="{FF2B5EF4-FFF2-40B4-BE49-F238E27FC236}">
              <a16:creationId xmlns:a16="http://schemas.microsoft.com/office/drawing/2014/main" id="{93C9F425-2C28-D89E-8B52-5D1C8E5AC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44450</xdr:colOff>
      <xdr:row>5</xdr:row>
      <xdr:rowOff>63500</xdr:rowOff>
    </xdr:from>
    <xdr:to>
      <xdr:col>1</xdr:col>
      <xdr:colOff>3881437</xdr:colOff>
      <xdr:row>17</xdr:row>
      <xdr:rowOff>190500</xdr:rowOff>
    </xdr:to>
    <xdr:graphicFrame macro="">
      <xdr:nvGraphicFramePr>
        <xdr:cNvPr id="11724" name="Grafico 1">
          <a:extLst>
            <a:ext uri="{FF2B5EF4-FFF2-40B4-BE49-F238E27FC236}">
              <a16:creationId xmlns:a16="http://schemas.microsoft.com/office/drawing/2014/main" id="{7D186D20-F441-9927-C37B-E612E1BD6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xdr:colOff>
      <xdr:row>18</xdr:row>
      <xdr:rowOff>76200</xdr:rowOff>
    </xdr:from>
    <xdr:to>
      <xdr:col>1</xdr:col>
      <xdr:colOff>3889375</xdr:colOff>
      <xdr:row>31</xdr:row>
      <xdr:rowOff>63500</xdr:rowOff>
    </xdr:to>
    <xdr:graphicFrame macro="">
      <xdr:nvGraphicFramePr>
        <xdr:cNvPr id="11725" name="Grafico 2">
          <a:extLst>
            <a:ext uri="{FF2B5EF4-FFF2-40B4-BE49-F238E27FC236}">
              <a16:creationId xmlns:a16="http://schemas.microsoft.com/office/drawing/2014/main" id="{7B07546A-EB1C-D448-BA68-29202E350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31</xdr:row>
      <xdr:rowOff>133350</xdr:rowOff>
    </xdr:from>
    <xdr:to>
      <xdr:col>2</xdr:col>
      <xdr:colOff>0</xdr:colOff>
      <xdr:row>44</xdr:row>
      <xdr:rowOff>82550</xdr:rowOff>
    </xdr:to>
    <xdr:graphicFrame macro="">
      <xdr:nvGraphicFramePr>
        <xdr:cNvPr id="11726" name="Grafico 3">
          <a:extLst>
            <a:ext uri="{FF2B5EF4-FFF2-40B4-BE49-F238E27FC236}">
              <a16:creationId xmlns:a16="http://schemas.microsoft.com/office/drawing/2014/main" id="{9370126D-8160-5DEB-C471-71A4530E8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6</xdr:row>
      <xdr:rowOff>6350</xdr:rowOff>
    </xdr:from>
    <xdr:to>
      <xdr:col>1</xdr:col>
      <xdr:colOff>3881437</xdr:colOff>
      <xdr:row>24</xdr:row>
      <xdr:rowOff>6350</xdr:rowOff>
    </xdr:to>
    <xdr:graphicFrame macro="">
      <xdr:nvGraphicFramePr>
        <xdr:cNvPr id="12595" name="Grafico 1">
          <a:extLst>
            <a:ext uri="{FF2B5EF4-FFF2-40B4-BE49-F238E27FC236}">
              <a16:creationId xmlns:a16="http://schemas.microsoft.com/office/drawing/2014/main" id="{E45046A7-5EB5-E224-47CF-1F482F17E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25</xdr:row>
      <xdr:rowOff>200025</xdr:rowOff>
    </xdr:from>
    <xdr:to>
      <xdr:col>2</xdr:col>
      <xdr:colOff>0</xdr:colOff>
      <xdr:row>43</xdr:row>
      <xdr:rowOff>171450</xdr:rowOff>
    </xdr:to>
    <xdr:graphicFrame macro="">
      <xdr:nvGraphicFramePr>
        <xdr:cNvPr id="12596" name="Grafico 2">
          <a:extLst>
            <a:ext uri="{FF2B5EF4-FFF2-40B4-BE49-F238E27FC236}">
              <a16:creationId xmlns:a16="http://schemas.microsoft.com/office/drawing/2014/main" id="{DC1A15B0-2D2F-812B-4A6E-054846D97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6</xdr:row>
      <xdr:rowOff>6350</xdr:rowOff>
    </xdr:from>
    <xdr:to>
      <xdr:col>1</xdr:col>
      <xdr:colOff>3881437</xdr:colOff>
      <xdr:row>24</xdr:row>
      <xdr:rowOff>6350</xdr:rowOff>
    </xdr:to>
    <xdr:graphicFrame macro="">
      <xdr:nvGraphicFramePr>
        <xdr:cNvPr id="9523" name="Grafico 1">
          <a:extLst>
            <a:ext uri="{FF2B5EF4-FFF2-40B4-BE49-F238E27FC236}">
              <a16:creationId xmlns:a16="http://schemas.microsoft.com/office/drawing/2014/main" id="{9A77D373-C17D-C86A-99EE-9FEBD1A3E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25</xdr:row>
      <xdr:rowOff>25400</xdr:rowOff>
    </xdr:from>
    <xdr:to>
      <xdr:col>1</xdr:col>
      <xdr:colOff>3889375</xdr:colOff>
      <xdr:row>45</xdr:row>
      <xdr:rowOff>171450</xdr:rowOff>
    </xdr:to>
    <xdr:graphicFrame macro="">
      <xdr:nvGraphicFramePr>
        <xdr:cNvPr id="9524" name="Grafico 2">
          <a:extLst>
            <a:ext uri="{FF2B5EF4-FFF2-40B4-BE49-F238E27FC236}">
              <a16:creationId xmlns:a16="http://schemas.microsoft.com/office/drawing/2014/main" id="{6FC51756-CF67-C8A6-E433-C82B2F621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7</xdr:row>
      <xdr:rowOff>25400</xdr:rowOff>
    </xdr:from>
    <xdr:to>
      <xdr:col>14</xdr:col>
      <xdr:colOff>539751</xdr:colOff>
      <xdr:row>37</xdr:row>
      <xdr:rowOff>6350</xdr:rowOff>
    </xdr:to>
    <xdr:graphicFrame macro="">
      <xdr:nvGraphicFramePr>
        <xdr:cNvPr id="12" name="Grafico 11">
          <a:extLst>
            <a:ext uri="{FF2B5EF4-FFF2-40B4-BE49-F238E27FC236}">
              <a16:creationId xmlns:a16="http://schemas.microsoft.com/office/drawing/2014/main" id="{8F678953-274B-4CB1-B2D9-4A20CA643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76200</xdr:colOff>
      <xdr:row>1</xdr:row>
      <xdr:rowOff>107950</xdr:rowOff>
    </xdr:from>
    <xdr:ext cx="2082800" cy="495300"/>
    <xdr:pic>
      <xdr:nvPicPr>
        <xdr:cNvPr id="13" name="Immagine 12">
          <a:extLst>
            <a:ext uri="{FF2B5EF4-FFF2-40B4-BE49-F238E27FC236}">
              <a16:creationId xmlns:a16="http://schemas.microsoft.com/office/drawing/2014/main" id="{DEA5ADA6-FC24-4FD9-9850-25284D4DF996}"/>
            </a:ext>
          </a:extLst>
        </xdr:cNvPr>
        <xdr:cNvPicPr>
          <a:picLocks noChangeAspect="1"/>
        </xdr:cNvPicPr>
      </xdr:nvPicPr>
      <xdr:blipFill>
        <a:blip xmlns:r="http://schemas.openxmlformats.org/officeDocument/2006/relationships" r:embed="rId2"/>
        <a:stretch>
          <a:fillRect/>
        </a:stretch>
      </xdr:blipFill>
      <xdr:spPr>
        <a:xfrm>
          <a:off x="76200" y="273050"/>
          <a:ext cx="2082800" cy="495300"/>
        </a:xfrm>
        <a:prstGeom prst="rect">
          <a:avLst/>
        </a:prstGeom>
      </xdr:spPr>
    </xdr:pic>
    <xdr:clientData/>
  </xdr:oneCellAnchor>
  <xdr:twoCellAnchor>
    <xdr:from>
      <xdr:col>0</xdr:col>
      <xdr:colOff>1</xdr:colOff>
      <xdr:row>48</xdr:row>
      <xdr:rowOff>25400</xdr:rowOff>
    </xdr:from>
    <xdr:to>
      <xdr:col>14</xdr:col>
      <xdr:colOff>533401</xdr:colOff>
      <xdr:row>78</xdr:row>
      <xdr:rowOff>6350</xdr:rowOff>
    </xdr:to>
    <xdr:graphicFrame macro="">
      <xdr:nvGraphicFramePr>
        <xdr:cNvPr id="14" name="Grafico 13">
          <a:extLst>
            <a:ext uri="{FF2B5EF4-FFF2-40B4-BE49-F238E27FC236}">
              <a16:creationId xmlns:a16="http://schemas.microsoft.com/office/drawing/2014/main" id="{3945708D-AEFB-4946-A65F-0289BD94C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76200</xdr:colOff>
      <xdr:row>42</xdr:row>
      <xdr:rowOff>107950</xdr:rowOff>
    </xdr:from>
    <xdr:ext cx="2082800" cy="495300"/>
    <xdr:pic>
      <xdr:nvPicPr>
        <xdr:cNvPr id="15" name="Immagine 14">
          <a:extLst>
            <a:ext uri="{FF2B5EF4-FFF2-40B4-BE49-F238E27FC236}">
              <a16:creationId xmlns:a16="http://schemas.microsoft.com/office/drawing/2014/main" id="{ACDAD8ED-4ACA-4078-AE12-120C05E6EDB6}"/>
            </a:ext>
          </a:extLst>
        </xdr:cNvPr>
        <xdr:cNvPicPr>
          <a:picLocks noChangeAspect="1"/>
        </xdr:cNvPicPr>
      </xdr:nvPicPr>
      <xdr:blipFill>
        <a:blip xmlns:r="http://schemas.openxmlformats.org/officeDocument/2006/relationships" r:embed="rId2"/>
        <a:stretch>
          <a:fillRect/>
        </a:stretch>
      </xdr:blipFill>
      <xdr:spPr>
        <a:xfrm>
          <a:off x="76200" y="273050"/>
          <a:ext cx="2082800" cy="4953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69850</xdr:colOff>
      <xdr:row>0</xdr:row>
      <xdr:rowOff>69851</xdr:rowOff>
    </xdr:from>
    <xdr:to>
      <xdr:col>0</xdr:col>
      <xdr:colOff>1651000</xdr:colOff>
      <xdr:row>3</xdr:row>
      <xdr:rowOff>114300</xdr:rowOff>
    </xdr:to>
    <xdr:pic>
      <xdr:nvPicPr>
        <xdr:cNvPr id="7" name="Grafik 1">
          <a:extLst>
            <a:ext uri="{FF2B5EF4-FFF2-40B4-BE49-F238E27FC236}">
              <a16:creationId xmlns:a16="http://schemas.microsoft.com/office/drawing/2014/main" id="{B2DC31B3-C956-4679-B469-0C7E049046A0}"/>
            </a:ext>
          </a:extLst>
        </xdr:cNvPr>
        <xdr:cNvPicPr>
          <a:picLocks noChangeAspect="1"/>
        </xdr:cNvPicPr>
      </xdr:nvPicPr>
      <xdr:blipFill rotWithShape="1">
        <a:blip xmlns:r="http://schemas.openxmlformats.org/officeDocument/2006/relationships" r:embed="rId1"/>
        <a:srcRect l="-4245" t="31344" r="-3603" b="29593"/>
        <a:stretch/>
      </xdr:blipFill>
      <xdr:spPr>
        <a:xfrm>
          <a:off x="69850" y="69851"/>
          <a:ext cx="1581150" cy="5778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48780</xdr:colOff>
      <xdr:row>0</xdr:row>
      <xdr:rowOff>50799</xdr:rowOff>
    </xdr:from>
    <xdr:to>
      <xdr:col>0</xdr:col>
      <xdr:colOff>1506113</xdr:colOff>
      <xdr:row>3</xdr:row>
      <xdr:rowOff>86590</xdr:rowOff>
    </xdr:to>
    <xdr:pic>
      <xdr:nvPicPr>
        <xdr:cNvPr id="2" name="Grafik 1">
          <a:extLst>
            <a:ext uri="{FF2B5EF4-FFF2-40B4-BE49-F238E27FC236}">
              <a16:creationId xmlns:a16="http://schemas.microsoft.com/office/drawing/2014/main" id="{E87523DA-E511-4B70-9116-CBAC8F2E6E9C}"/>
            </a:ext>
          </a:extLst>
        </xdr:cNvPr>
        <xdr:cNvPicPr>
          <a:picLocks noChangeAspect="1"/>
        </xdr:cNvPicPr>
      </xdr:nvPicPr>
      <xdr:blipFill rotWithShape="1">
        <a:blip xmlns:r="http://schemas.openxmlformats.org/officeDocument/2006/relationships" r:embed="rId1"/>
        <a:srcRect l="-4245" t="31344" r="-3603" b="29593"/>
        <a:stretch/>
      </xdr:blipFill>
      <xdr:spPr>
        <a:xfrm>
          <a:off x="48780" y="50799"/>
          <a:ext cx="1457333" cy="5293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30160</xdr:colOff>
      <xdr:row>15</xdr:row>
      <xdr:rowOff>158750</xdr:rowOff>
    </xdr:from>
    <xdr:to>
      <xdr:col>4</xdr:col>
      <xdr:colOff>1173160</xdr:colOff>
      <xdr:row>28</xdr:row>
      <xdr:rowOff>82550</xdr:rowOff>
    </xdr:to>
    <xdr:graphicFrame macro="">
      <xdr:nvGraphicFramePr>
        <xdr:cNvPr id="7475" name="Grafico 1">
          <a:extLst>
            <a:ext uri="{FF2B5EF4-FFF2-40B4-BE49-F238E27FC236}">
              <a16:creationId xmlns:a16="http://schemas.microsoft.com/office/drawing/2014/main" id="{62464BD2-B0BF-3A4E-6049-DC9584621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42861</xdr:colOff>
      <xdr:row>29</xdr:row>
      <xdr:rowOff>17466</xdr:rowOff>
    </xdr:from>
    <xdr:to>
      <xdr:col>4</xdr:col>
      <xdr:colOff>1163636</xdr:colOff>
      <xdr:row>49</xdr:row>
      <xdr:rowOff>100541</xdr:rowOff>
    </xdr:to>
    <xdr:graphicFrame macro="">
      <xdr:nvGraphicFramePr>
        <xdr:cNvPr id="7476" name="Grafico 2">
          <a:extLst>
            <a:ext uri="{FF2B5EF4-FFF2-40B4-BE49-F238E27FC236}">
              <a16:creationId xmlns:a16="http://schemas.microsoft.com/office/drawing/2014/main" id="{830F660B-748C-1C6E-A64C-26E0A9DCC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39687</xdr:colOff>
      <xdr:row>0</xdr:row>
      <xdr:rowOff>38100</xdr:rowOff>
    </xdr:from>
    <xdr:to>
      <xdr:col>1</xdr:col>
      <xdr:colOff>991931</xdr:colOff>
      <xdr:row>3</xdr:row>
      <xdr:rowOff>85724</xdr:rowOff>
    </xdr:to>
    <xdr:pic>
      <xdr:nvPicPr>
        <xdr:cNvPr id="3" name="Grafik 1">
          <a:extLst>
            <a:ext uri="{FF2B5EF4-FFF2-40B4-BE49-F238E27FC236}">
              <a16:creationId xmlns:a16="http://schemas.microsoft.com/office/drawing/2014/main" id="{1AC6A048-C186-4AF2-8261-F78823B494B5}"/>
            </a:ext>
          </a:extLst>
        </xdr:cNvPr>
        <xdr:cNvPicPr>
          <a:picLocks noChangeAspect="1"/>
        </xdr:cNvPicPr>
      </xdr:nvPicPr>
      <xdr:blipFill rotWithShape="1">
        <a:blip xmlns:r="http://schemas.openxmlformats.org/officeDocument/2006/relationships" r:embed="rId3"/>
        <a:srcRect l="-4245" t="31344" r="-3603" b="29593"/>
        <a:stretch/>
      </xdr:blipFill>
      <xdr:spPr>
        <a:xfrm>
          <a:off x="39687" y="236538"/>
          <a:ext cx="1761869" cy="642937"/>
        </a:xfrm>
        <a:prstGeom prst="rect">
          <a:avLst/>
        </a:prstGeom>
      </xdr:spPr>
    </xdr:pic>
    <xdr:clientData/>
  </xdr:twoCellAnchor>
  <xdr:twoCellAnchor>
    <xdr:from>
      <xdr:col>0</xdr:col>
      <xdr:colOff>31749</xdr:colOff>
      <xdr:row>65</xdr:row>
      <xdr:rowOff>120650</xdr:rowOff>
    </xdr:from>
    <xdr:to>
      <xdr:col>4</xdr:col>
      <xdr:colOff>1325562</xdr:colOff>
      <xdr:row>78</xdr:row>
      <xdr:rowOff>55562</xdr:rowOff>
    </xdr:to>
    <xdr:graphicFrame macro="">
      <xdr:nvGraphicFramePr>
        <xdr:cNvPr id="2" name="Grafico 1">
          <a:extLst>
            <a:ext uri="{FF2B5EF4-FFF2-40B4-BE49-F238E27FC236}">
              <a16:creationId xmlns:a16="http://schemas.microsoft.com/office/drawing/2014/main" id="{B8DAD7D7-0771-47F1-9B5D-BA8B3A780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30162</xdr:colOff>
      <xdr:row>79</xdr:row>
      <xdr:rowOff>9525</xdr:rowOff>
    </xdr:from>
    <xdr:to>
      <xdr:col>5</xdr:col>
      <xdr:colOff>529</xdr:colOff>
      <xdr:row>98</xdr:row>
      <xdr:rowOff>164042</xdr:rowOff>
    </xdr:to>
    <xdr:graphicFrame macro="">
      <xdr:nvGraphicFramePr>
        <xdr:cNvPr id="4" name="Grafico 2">
          <a:extLst>
            <a:ext uri="{FF2B5EF4-FFF2-40B4-BE49-F238E27FC236}">
              <a16:creationId xmlns:a16="http://schemas.microsoft.com/office/drawing/2014/main" id="{3925AAF0-D245-4380-94C7-12F398738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39687</xdr:colOff>
      <xdr:row>50</xdr:row>
      <xdr:rowOff>38100</xdr:rowOff>
    </xdr:from>
    <xdr:ext cx="1761869" cy="634999"/>
    <xdr:pic>
      <xdr:nvPicPr>
        <xdr:cNvPr id="5" name="Grafik 1">
          <a:extLst>
            <a:ext uri="{FF2B5EF4-FFF2-40B4-BE49-F238E27FC236}">
              <a16:creationId xmlns:a16="http://schemas.microsoft.com/office/drawing/2014/main" id="{01F87E8A-EAD2-45FD-B8D3-D5B2178F66E5}"/>
            </a:ext>
          </a:extLst>
        </xdr:cNvPr>
        <xdr:cNvPicPr>
          <a:picLocks noChangeAspect="1"/>
        </xdr:cNvPicPr>
      </xdr:nvPicPr>
      <xdr:blipFill rotWithShape="1">
        <a:blip xmlns:r="http://schemas.openxmlformats.org/officeDocument/2006/relationships" r:embed="rId3"/>
        <a:srcRect l="-4245" t="31344" r="-3603" b="29593"/>
        <a:stretch/>
      </xdr:blipFill>
      <xdr:spPr>
        <a:xfrm>
          <a:off x="39687" y="38100"/>
          <a:ext cx="1761869" cy="634999"/>
        </a:xfrm>
        <a:prstGeom prst="rect">
          <a:avLst/>
        </a:prstGeom>
      </xdr:spPr>
    </xdr:pic>
    <xdr:clientData/>
  </xdr:oneCellAnchor>
</xdr:wsDr>
</file>

<file path=xl/drawings/drawing18.xml><?xml version="1.0" encoding="utf-8"?>
<c:userShapes xmlns:c="http://schemas.openxmlformats.org/drawingml/2006/chart">
  <cdr:relSizeAnchor xmlns:cdr="http://schemas.openxmlformats.org/drawingml/2006/chartDrawing">
    <cdr:from>
      <cdr:x>0.23543</cdr:x>
      <cdr:y>0.82827</cdr:y>
    </cdr:from>
    <cdr:to>
      <cdr:x>0.23789</cdr:x>
      <cdr:y>0.88469</cdr:y>
    </cdr:to>
    <cdr:sp macro="" textlink="">
      <cdr:nvSpPr>
        <cdr:cNvPr id="10241" name="Text Box 1"/>
        <cdr:cNvSpPr txBox="1">
          <a:spLocks xmlns:a="http://schemas.openxmlformats.org/drawingml/2006/main" noChangeArrowheads="1"/>
        </cdr:cNvSpPr>
      </cdr:nvSpPr>
      <cdr:spPr bwMode="auto">
        <a:xfrm xmlns:a="http://schemas.openxmlformats.org/drawingml/2006/main">
          <a:off x="1443679" y="1855947"/>
          <a:ext cx="19269" cy="1328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0.23543</cdr:x>
      <cdr:y>0.82827</cdr:y>
    </cdr:from>
    <cdr:to>
      <cdr:x>0.23789</cdr:x>
      <cdr:y>0.88469</cdr:y>
    </cdr:to>
    <cdr:sp macro="" textlink="">
      <cdr:nvSpPr>
        <cdr:cNvPr id="10242" name="Text Box 2"/>
        <cdr:cNvSpPr txBox="1">
          <a:spLocks xmlns:a="http://schemas.openxmlformats.org/drawingml/2006/main" noChangeArrowheads="1"/>
        </cdr:cNvSpPr>
      </cdr:nvSpPr>
      <cdr:spPr bwMode="auto">
        <a:xfrm xmlns:a="http://schemas.openxmlformats.org/drawingml/2006/main">
          <a:off x="1443679" y="1855947"/>
          <a:ext cx="19269" cy="1328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0.23543</cdr:x>
      <cdr:y>0.82827</cdr:y>
    </cdr:from>
    <cdr:to>
      <cdr:x>0.23789</cdr:x>
      <cdr:y>0.88469</cdr:y>
    </cdr:to>
    <cdr:sp macro="" textlink="">
      <cdr:nvSpPr>
        <cdr:cNvPr id="10243" name="Text Box 3"/>
        <cdr:cNvSpPr txBox="1">
          <a:spLocks xmlns:a="http://schemas.openxmlformats.org/drawingml/2006/main" noChangeArrowheads="1"/>
        </cdr:cNvSpPr>
      </cdr:nvSpPr>
      <cdr:spPr bwMode="auto">
        <a:xfrm xmlns:a="http://schemas.openxmlformats.org/drawingml/2006/main">
          <a:off x="1443679" y="1855947"/>
          <a:ext cx="19269" cy="1328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0.23543</cdr:x>
      <cdr:y>0.82827</cdr:y>
    </cdr:from>
    <cdr:to>
      <cdr:x>0.23789</cdr:x>
      <cdr:y>0.88469</cdr:y>
    </cdr:to>
    <cdr:sp macro="" textlink="">
      <cdr:nvSpPr>
        <cdr:cNvPr id="10244" name="Text Box 4"/>
        <cdr:cNvSpPr txBox="1">
          <a:spLocks xmlns:a="http://schemas.openxmlformats.org/drawingml/2006/main" noChangeArrowheads="1"/>
        </cdr:cNvSpPr>
      </cdr:nvSpPr>
      <cdr:spPr bwMode="auto">
        <a:xfrm xmlns:a="http://schemas.openxmlformats.org/drawingml/2006/main">
          <a:off x="1443679" y="1855947"/>
          <a:ext cx="19269" cy="1328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0.24222</cdr:x>
      <cdr:y>0.87693</cdr:y>
    </cdr:from>
    <cdr:to>
      <cdr:x>0.24554</cdr:x>
      <cdr:y>0.95157</cdr:y>
    </cdr:to>
    <cdr:sp macro="" textlink="">
      <cdr:nvSpPr>
        <cdr:cNvPr id="10245" name="Text Box 5"/>
        <cdr:cNvSpPr txBox="1">
          <a:spLocks xmlns:a="http://schemas.openxmlformats.org/drawingml/2006/main" noChangeArrowheads="1"/>
        </cdr:cNvSpPr>
      </cdr:nvSpPr>
      <cdr:spPr bwMode="auto">
        <a:xfrm xmlns:a="http://schemas.openxmlformats.org/drawingml/2006/main">
          <a:off x="1353158" y="1839006"/>
          <a:ext cx="18530"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dr:relSizeAnchor xmlns:cdr="http://schemas.openxmlformats.org/drawingml/2006/chartDrawing">
    <cdr:from>
      <cdr:x>0.24222</cdr:x>
      <cdr:y>0.87693</cdr:y>
    </cdr:from>
    <cdr:to>
      <cdr:x>0.24554</cdr:x>
      <cdr:y>0.95157</cdr:y>
    </cdr:to>
    <cdr:sp macro="" textlink="">
      <cdr:nvSpPr>
        <cdr:cNvPr id="10246" name="Text Box 6"/>
        <cdr:cNvSpPr txBox="1">
          <a:spLocks xmlns:a="http://schemas.openxmlformats.org/drawingml/2006/main" noChangeArrowheads="1"/>
        </cdr:cNvSpPr>
      </cdr:nvSpPr>
      <cdr:spPr bwMode="auto">
        <a:xfrm xmlns:a="http://schemas.openxmlformats.org/drawingml/2006/main">
          <a:off x="1353158" y="1839006"/>
          <a:ext cx="18530"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dr:relSizeAnchor xmlns:cdr="http://schemas.openxmlformats.org/drawingml/2006/chartDrawing">
    <cdr:from>
      <cdr:x>0.24222</cdr:x>
      <cdr:y>0.87693</cdr:y>
    </cdr:from>
    <cdr:to>
      <cdr:x>0.24554</cdr:x>
      <cdr:y>0.95157</cdr:y>
    </cdr:to>
    <cdr:sp macro="" textlink="">
      <cdr:nvSpPr>
        <cdr:cNvPr id="10247" name="Text Box 7"/>
        <cdr:cNvSpPr txBox="1">
          <a:spLocks xmlns:a="http://schemas.openxmlformats.org/drawingml/2006/main" noChangeArrowheads="1"/>
        </cdr:cNvSpPr>
      </cdr:nvSpPr>
      <cdr:spPr bwMode="auto">
        <a:xfrm xmlns:a="http://schemas.openxmlformats.org/drawingml/2006/main">
          <a:off x="1353158" y="1839006"/>
          <a:ext cx="18530"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dr:relSizeAnchor xmlns:cdr="http://schemas.openxmlformats.org/drawingml/2006/chartDrawing">
    <cdr:from>
      <cdr:x>0.24222</cdr:x>
      <cdr:y>0.87693</cdr:y>
    </cdr:from>
    <cdr:to>
      <cdr:x>0.24554</cdr:x>
      <cdr:y>0.95157</cdr:y>
    </cdr:to>
    <cdr:sp macro="" textlink="">
      <cdr:nvSpPr>
        <cdr:cNvPr id="10248" name="Text Box 8"/>
        <cdr:cNvSpPr txBox="1">
          <a:spLocks xmlns:a="http://schemas.openxmlformats.org/drawingml/2006/main" noChangeArrowheads="1"/>
        </cdr:cNvSpPr>
      </cdr:nvSpPr>
      <cdr:spPr bwMode="auto">
        <a:xfrm xmlns:a="http://schemas.openxmlformats.org/drawingml/2006/main">
          <a:off x="1353158" y="1839006"/>
          <a:ext cx="18530"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userShapes>
</file>

<file path=xl/drawings/drawing19.xml><?xml version="1.0" encoding="utf-8"?>
<c:userShapes xmlns:c="http://schemas.openxmlformats.org/drawingml/2006/chart">
  <cdr:relSizeAnchor xmlns:cdr="http://schemas.openxmlformats.org/drawingml/2006/chartDrawing">
    <cdr:from>
      <cdr:x>0.27109</cdr:x>
      <cdr:y>0.77162</cdr:y>
    </cdr:from>
    <cdr:to>
      <cdr:x>0.27528</cdr:x>
      <cdr:y>0.83615</cdr:y>
    </cdr:to>
    <cdr:sp macro="" textlink="">
      <cdr:nvSpPr>
        <cdr:cNvPr id="14337" name="Text Box 1"/>
        <cdr:cNvSpPr txBox="1">
          <a:spLocks xmlns:a="http://schemas.openxmlformats.org/drawingml/2006/main" noChangeArrowheads="1"/>
        </cdr:cNvSpPr>
      </cdr:nvSpPr>
      <cdr:spPr bwMode="auto">
        <a:xfrm xmlns:a="http://schemas.openxmlformats.org/drawingml/2006/main">
          <a:off x="1487056" y="1925606"/>
          <a:ext cx="22707" cy="14041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0.27109</cdr:x>
      <cdr:y>0.77162</cdr:y>
    </cdr:from>
    <cdr:to>
      <cdr:x>0.27528</cdr:x>
      <cdr:y>0.83615</cdr:y>
    </cdr:to>
    <cdr:sp macro="" textlink="">
      <cdr:nvSpPr>
        <cdr:cNvPr id="14338" name="Text Box 2"/>
        <cdr:cNvSpPr txBox="1">
          <a:spLocks xmlns:a="http://schemas.openxmlformats.org/drawingml/2006/main" noChangeArrowheads="1"/>
        </cdr:cNvSpPr>
      </cdr:nvSpPr>
      <cdr:spPr bwMode="auto">
        <a:xfrm xmlns:a="http://schemas.openxmlformats.org/drawingml/2006/main">
          <a:off x="1487056" y="1925606"/>
          <a:ext cx="22707" cy="14041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0.27109</cdr:x>
      <cdr:y>0.77162</cdr:y>
    </cdr:from>
    <cdr:to>
      <cdr:x>0.27528</cdr:x>
      <cdr:y>0.83615</cdr:y>
    </cdr:to>
    <cdr:sp macro="" textlink="">
      <cdr:nvSpPr>
        <cdr:cNvPr id="14339" name="Text Box 3"/>
        <cdr:cNvSpPr txBox="1">
          <a:spLocks xmlns:a="http://schemas.openxmlformats.org/drawingml/2006/main" noChangeArrowheads="1"/>
        </cdr:cNvSpPr>
      </cdr:nvSpPr>
      <cdr:spPr bwMode="auto">
        <a:xfrm xmlns:a="http://schemas.openxmlformats.org/drawingml/2006/main">
          <a:off x="1487056" y="1925606"/>
          <a:ext cx="22707" cy="14041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0.27109</cdr:x>
      <cdr:y>0.77162</cdr:y>
    </cdr:from>
    <cdr:to>
      <cdr:x>0.27528</cdr:x>
      <cdr:y>0.83615</cdr:y>
    </cdr:to>
    <cdr:sp macro="" textlink="">
      <cdr:nvSpPr>
        <cdr:cNvPr id="14340" name="Text Box 4"/>
        <cdr:cNvSpPr txBox="1">
          <a:spLocks xmlns:a="http://schemas.openxmlformats.org/drawingml/2006/main" noChangeArrowheads="1"/>
        </cdr:cNvSpPr>
      </cdr:nvSpPr>
      <cdr:spPr bwMode="auto">
        <a:xfrm xmlns:a="http://schemas.openxmlformats.org/drawingml/2006/main">
          <a:off x="1487056" y="1925606"/>
          <a:ext cx="22707" cy="14041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it-CH"/>
        </a:p>
      </cdr:txBody>
    </cdr:sp>
  </cdr:relSizeAnchor>
  <cdr:relSizeAnchor xmlns:cdr="http://schemas.openxmlformats.org/drawingml/2006/chartDrawing">
    <cdr:from>
      <cdr:x>0.2058</cdr:x>
      <cdr:y>0.78757</cdr:y>
    </cdr:from>
    <cdr:to>
      <cdr:x>0.20902</cdr:x>
      <cdr:y>0.8612</cdr:y>
    </cdr:to>
    <cdr:sp macro="" textlink="">
      <cdr:nvSpPr>
        <cdr:cNvPr id="14341" name="Text Box 5"/>
        <cdr:cNvSpPr txBox="1">
          <a:spLocks xmlns:a="http://schemas.openxmlformats.org/drawingml/2006/main" noChangeArrowheads="1"/>
        </cdr:cNvSpPr>
      </cdr:nvSpPr>
      <cdr:spPr bwMode="auto">
        <a:xfrm xmlns:a="http://schemas.openxmlformats.org/drawingml/2006/main">
          <a:off x="1184985" y="1674108"/>
          <a:ext cx="18531"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dr:relSizeAnchor xmlns:cdr="http://schemas.openxmlformats.org/drawingml/2006/chartDrawing">
    <cdr:from>
      <cdr:x>0.2058</cdr:x>
      <cdr:y>0.78757</cdr:y>
    </cdr:from>
    <cdr:to>
      <cdr:x>0.20902</cdr:x>
      <cdr:y>0.8612</cdr:y>
    </cdr:to>
    <cdr:sp macro="" textlink="">
      <cdr:nvSpPr>
        <cdr:cNvPr id="14342" name="Text Box 6"/>
        <cdr:cNvSpPr txBox="1">
          <a:spLocks xmlns:a="http://schemas.openxmlformats.org/drawingml/2006/main" noChangeArrowheads="1"/>
        </cdr:cNvSpPr>
      </cdr:nvSpPr>
      <cdr:spPr bwMode="auto">
        <a:xfrm xmlns:a="http://schemas.openxmlformats.org/drawingml/2006/main">
          <a:off x="1184985" y="1674108"/>
          <a:ext cx="18531"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dr:relSizeAnchor xmlns:cdr="http://schemas.openxmlformats.org/drawingml/2006/chartDrawing">
    <cdr:from>
      <cdr:x>0.2058</cdr:x>
      <cdr:y>0.78757</cdr:y>
    </cdr:from>
    <cdr:to>
      <cdr:x>0.20902</cdr:x>
      <cdr:y>0.8612</cdr:y>
    </cdr:to>
    <cdr:sp macro="" textlink="">
      <cdr:nvSpPr>
        <cdr:cNvPr id="14343" name="Text Box 7"/>
        <cdr:cNvSpPr txBox="1">
          <a:spLocks xmlns:a="http://schemas.openxmlformats.org/drawingml/2006/main" noChangeArrowheads="1"/>
        </cdr:cNvSpPr>
      </cdr:nvSpPr>
      <cdr:spPr bwMode="auto">
        <a:xfrm xmlns:a="http://schemas.openxmlformats.org/drawingml/2006/main">
          <a:off x="1184985" y="1674108"/>
          <a:ext cx="18531"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dr:relSizeAnchor xmlns:cdr="http://schemas.openxmlformats.org/drawingml/2006/chartDrawing">
    <cdr:from>
      <cdr:x>0.2058</cdr:x>
      <cdr:y>0.78757</cdr:y>
    </cdr:from>
    <cdr:to>
      <cdr:x>0.20902</cdr:x>
      <cdr:y>0.8612</cdr:y>
    </cdr:to>
    <cdr:sp macro="" textlink="">
      <cdr:nvSpPr>
        <cdr:cNvPr id="14344" name="Text Box 8"/>
        <cdr:cNvSpPr txBox="1">
          <a:spLocks xmlns:a="http://schemas.openxmlformats.org/drawingml/2006/main" noChangeArrowheads="1"/>
        </cdr:cNvSpPr>
      </cdr:nvSpPr>
      <cdr:spPr bwMode="auto">
        <a:xfrm xmlns:a="http://schemas.openxmlformats.org/drawingml/2006/main">
          <a:off x="1184985" y="1674108"/>
          <a:ext cx="18531"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it-CH"/>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7</xdr:row>
      <xdr:rowOff>9525</xdr:rowOff>
    </xdr:from>
    <xdr:to>
      <xdr:col>14</xdr:col>
      <xdr:colOff>596900</xdr:colOff>
      <xdr:row>38</xdr:row>
      <xdr:rowOff>0</xdr:rowOff>
    </xdr:to>
    <xdr:graphicFrame macro="">
      <xdr:nvGraphicFramePr>
        <xdr:cNvPr id="3" name="Grafico 2">
          <a:extLst>
            <a:ext uri="{FF2B5EF4-FFF2-40B4-BE49-F238E27FC236}">
              <a16:creationId xmlns:a16="http://schemas.microsoft.com/office/drawing/2014/main" id="{EE80E3D3-DE5A-45D6-9B39-02893807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38100</xdr:rowOff>
    </xdr:from>
    <xdr:to>
      <xdr:col>3</xdr:col>
      <xdr:colOff>514350</xdr:colOff>
      <xdr:row>3</xdr:row>
      <xdr:rowOff>131600</xdr:rowOff>
    </xdr:to>
    <xdr:pic>
      <xdr:nvPicPr>
        <xdr:cNvPr id="5" name="Immagine 4">
          <a:extLst>
            <a:ext uri="{FF2B5EF4-FFF2-40B4-BE49-F238E27FC236}">
              <a16:creationId xmlns:a16="http://schemas.microsoft.com/office/drawing/2014/main" id="{32B9F4B3-9AC3-BF41-4C0C-E62BD27BC25C}"/>
            </a:ext>
          </a:extLst>
        </xdr:cNvPr>
        <xdr:cNvPicPr>
          <a:picLocks noChangeAspect="1"/>
        </xdr:cNvPicPr>
      </xdr:nvPicPr>
      <xdr:blipFill>
        <a:blip xmlns:r="http://schemas.openxmlformats.org/officeDocument/2006/relationships" r:embed="rId2"/>
        <a:stretch>
          <a:fillRect/>
        </a:stretch>
      </xdr:blipFill>
      <xdr:spPr>
        <a:xfrm>
          <a:off x="57150" y="38100"/>
          <a:ext cx="2286000" cy="579275"/>
        </a:xfrm>
        <a:prstGeom prst="rect">
          <a:avLst/>
        </a:prstGeom>
      </xdr:spPr>
    </xdr:pic>
    <xdr:clientData/>
  </xdr:twoCellAnchor>
  <xdr:twoCellAnchor>
    <xdr:from>
      <xdr:col>0</xdr:col>
      <xdr:colOff>0</xdr:colOff>
      <xdr:row>46</xdr:row>
      <xdr:rowOff>9525</xdr:rowOff>
    </xdr:from>
    <xdr:to>
      <xdr:col>14</xdr:col>
      <xdr:colOff>596900</xdr:colOff>
      <xdr:row>77</xdr:row>
      <xdr:rowOff>0</xdr:rowOff>
    </xdr:to>
    <xdr:graphicFrame macro="">
      <xdr:nvGraphicFramePr>
        <xdr:cNvPr id="6" name="Grafico 5">
          <a:extLst>
            <a:ext uri="{FF2B5EF4-FFF2-40B4-BE49-F238E27FC236}">
              <a16:creationId xmlns:a16="http://schemas.microsoft.com/office/drawing/2014/main" id="{9EC9C51B-2CA2-4E1E-BA1D-CC1716945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69849</xdr:colOff>
      <xdr:row>40</xdr:row>
      <xdr:rowOff>38100</xdr:rowOff>
    </xdr:from>
    <xdr:to>
      <xdr:col>3</xdr:col>
      <xdr:colOff>561975</xdr:colOff>
      <xdr:row>43</xdr:row>
      <xdr:rowOff>131600</xdr:rowOff>
    </xdr:to>
    <xdr:pic>
      <xdr:nvPicPr>
        <xdr:cNvPr id="7" name="Immagine 6">
          <a:extLst>
            <a:ext uri="{FF2B5EF4-FFF2-40B4-BE49-F238E27FC236}">
              <a16:creationId xmlns:a16="http://schemas.microsoft.com/office/drawing/2014/main" id="{FC9EFF0A-3C20-4032-A60B-2F2E1561AAEF}"/>
            </a:ext>
          </a:extLst>
        </xdr:cNvPr>
        <xdr:cNvPicPr>
          <a:picLocks noChangeAspect="1"/>
        </xdr:cNvPicPr>
      </xdr:nvPicPr>
      <xdr:blipFill>
        <a:blip xmlns:r="http://schemas.openxmlformats.org/officeDocument/2006/relationships" r:embed="rId2"/>
        <a:stretch>
          <a:fillRect/>
        </a:stretch>
      </xdr:blipFill>
      <xdr:spPr>
        <a:xfrm>
          <a:off x="69849" y="6515100"/>
          <a:ext cx="2320926" cy="636425"/>
        </a:xfrm>
        <a:prstGeom prst="rect">
          <a:avLst/>
        </a:prstGeom>
      </xdr:spPr>
    </xdr:pic>
    <xdr:clientData/>
  </xdr:twoCellAnchor>
  <xdr:twoCellAnchor>
    <xdr:from>
      <xdr:col>0</xdr:col>
      <xdr:colOff>0</xdr:colOff>
      <xdr:row>85</xdr:row>
      <xdr:rowOff>25400</xdr:rowOff>
    </xdr:from>
    <xdr:to>
      <xdr:col>14</xdr:col>
      <xdr:colOff>600075</xdr:colOff>
      <xdr:row>116</xdr:row>
      <xdr:rowOff>19050</xdr:rowOff>
    </xdr:to>
    <xdr:graphicFrame macro="">
      <xdr:nvGraphicFramePr>
        <xdr:cNvPr id="8" name="Grafico 7">
          <a:extLst>
            <a:ext uri="{FF2B5EF4-FFF2-40B4-BE49-F238E27FC236}">
              <a16:creationId xmlns:a16="http://schemas.microsoft.com/office/drawing/2014/main" id="{0F6D5FB9-A14C-4611-8B92-F832BBEA6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76200</xdr:colOff>
      <xdr:row>79</xdr:row>
      <xdr:rowOff>38100</xdr:rowOff>
    </xdr:from>
    <xdr:to>
      <xdr:col>3</xdr:col>
      <xdr:colOff>552450</xdr:colOff>
      <xdr:row>82</xdr:row>
      <xdr:rowOff>131600</xdr:rowOff>
    </xdr:to>
    <xdr:pic>
      <xdr:nvPicPr>
        <xdr:cNvPr id="9" name="Immagine 8">
          <a:extLst>
            <a:ext uri="{FF2B5EF4-FFF2-40B4-BE49-F238E27FC236}">
              <a16:creationId xmlns:a16="http://schemas.microsoft.com/office/drawing/2014/main" id="{4B61CEDC-B7D0-4049-ABA1-00CF616636B2}"/>
            </a:ext>
          </a:extLst>
        </xdr:cNvPr>
        <xdr:cNvPicPr>
          <a:picLocks noChangeAspect="1"/>
        </xdr:cNvPicPr>
      </xdr:nvPicPr>
      <xdr:blipFill>
        <a:blip xmlns:r="http://schemas.openxmlformats.org/officeDocument/2006/relationships" r:embed="rId2"/>
        <a:stretch>
          <a:fillRect/>
        </a:stretch>
      </xdr:blipFill>
      <xdr:spPr>
        <a:xfrm>
          <a:off x="76200" y="12906375"/>
          <a:ext cx="2305050" cy="636425"/>
        </a:xfrm>
        <a:prstGeom prst="rect">
          <a:avLst/>
        </a:prstGeom>
      </xdr:spPr>
    </xdr:pic>
    <xdr:clientData/>
  </xdr:twoCellAnchor>
  <xdr:twoCellAnchor>
    <xdr:from>
      <xdr:col>0</xdr:col>
      <xdr:colOff>0</xdr:colOff>
      <xdr:row>125</xdr:row>
      <xdr:rowOff>25400</xdr:rowOff>
    </xdr:from>
    <xdr:to>
      <xdr:col>14</xdr:col>
      <xdr:colOff>600075</xdr:colOff>
      <xdr:row>155</xdr:row>
      <xdr:rowOff>6350</xdr:rowOff>
    </xdr:to>
    <xdr:graphicFrame macro="">
      <xdr:nvGraphicFramePr>
        <xdr:cNvPr id="2" name="Grafico 1">
          <a:extLst>
            <a:ext uri="{FF2B5EF4-FFF2-40B4-BE49-F238E27FC236}">
              <a16:creationId xmlns:a16="http://schemas.microsoft.com/office/drawing/2014/main" id="{9D56FB84-2C4D-4EE7-AED7-00BCE7EB0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76200</xdr:colOff>
      <xdr:row>119</xdr:row>
      <xdr:rowOff>38100</xdr:rowOff>
    </xdr:from>
    <xdr:ext cx="2305050" cy="626900"/>
    <xdr:pic>
      <xdr:nvPicPr>
        <xdr:cNvPr id="4" name="Immagine 3">
          <a:extLst>
            <a:ext uri="{FF2B5EF4-FFF2-40B4-BE49-F238E27FC236}">
              <a16:creationId xmlns:a16="http://schemas.microsoft.com/office/drawing/2014/main" id="{AA108190-C678-4E43-8D6F-58C3AB7F7860}"/>
            </a:ext>
          </a:extLst>
        </xdr:cNvPr>
        <xdr:cNvPicPr>
          <a:picLocks noChangeAspect="1"/>
        </xdr:cNvPicPr>
      </xdr:nvPicPr>
      <xdr:blipFill>
        <a:blip xmlns:r="http://schemas.openxmlformats.org/officeDocument/2006/relationships" r:embed="rId2"/>
        <a:stretch>
          <a:fillRect/>
        </a:stretch>
      </xdr:blipFill>
      <xdr:spPr>
        <a:xfrm>
          <a:off x="76200" y="12674600"/>
          <a:ext cx="2305050" cy="626900"/>
        </a:xfrm>
        <a:prstGeom prst="rect">
          <a:avLst/>
        </a:prstGeom>
      </xdr:spPr>
    </xdr:pic>
    <xdr:clientData/>
  </xdr:oneCellAnchor>
  <xdr:twoCellAnchor>
    <xdr:from>
      <xdr:col>0</xdr:col>
      <xdr:colOff>0</xdr:colOff>
      <xdr:row>164</xdr:row>
      <xdr:rowOff>28575</xdr:rowOff>
    </xdr:from>
    <xdr:to>
      <xdr:col>14</xdr:col>
      <xdr:colOff>596900</xdr:colOff>
      <xdr:row>192</xdr:row>
      <xdr:rowOff>12700</xdr:rowOff>
    </xdr:to>
    <xdr:graphicFrame macro="">
      <xdr:nvGraphicFramePr>
        <xdr:cNvPr id="12" name="Grafico 11">
          <a:extLst>
            <a:ext uri="{FF2B5EF4-FFF2-40B4-BE49-F238E27FC236}">
              <a16:creationId xmlns:a16="http://schemas.microsoft.com/office/drawing/2014/main" id="{25E5EC6D-B14B-4AE0-928F-C762155BF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95250</xdr:colOff>
      <xdr:row>158</xdr:row>
      <xdr:rowOff>38100</xdr:rowOff>
    </xdr:from>
    <xdr:ext cx="2286000" cy="619125"/>
    <xdr:pic>
      <xdr:nvPicPr>
        <xdr:cNvPr id="13" name="Immagine 12">
          <a:extLst>
            <a:ext uri="{FF2B5EF4-FFF2-40B4-BE49-F238E27FC236}">
              <a16:creationId xmlns:a16="http://schemas.microsoft.com/office/drawing/2014/main" id="{E5B430A9-7E0B-4889-A08B-55DF73F30E19}"/>
            </a:ext>
          </a:extLst>
        </xdr:cNvPr>
        <xdr:cNvPicPr>
          <a:picLocks noChangeAspect="1"/>
        </xdr:cNvPicPr>
      </xdr:nvPicPr>
      <xdr:blipFill>
        <a:blip xmlns:r="http://schemas.openxmlformats.org/officeDocument/2006/relationships" r:embed="rId2"/>
        <a:stretch>
          <a:fillRect/>
        </a:stretch>
      </xdr:blipFill>
      <xdr:spPr>
        <a:xfrm>
          <a:off x="95250" y="24752300"/>
          <a:ext cx="2286000" cy="61912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6</xdr:col>
      <xdr:colOff>9524</xdr:colOff>
      <xdr:row>24</xdr:row>
      <xdr:rowOff>0</xdr:rowOff>
    </xdr:from>
    <xdr:to>
      <xdr:col>11</xdr:col>
      <xdr:colOff>8658</xdr:colOff>
      <xdr:row>34</xdr:row>
      <xdr:rowOff>9525</xdr:rowOff>
    </xdr:to>
    <xdr:graphicFrame macro="">
      <xdr:nvGraphicFramePr>
        <xdr:cNvPr id="4403" name="Grafico 1">
          <a:extLst>
            <a:ext uri="{FF2B5EF4-FFF2-40B4-BE49-F238E27FC236}">
              <a16:creationId xmlns:a16="http://schemas.microsoft.com/office/drawing/2014/main" id="{E231DB1C-3B59-2062-A72E-F6AA66540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202334</xdr:colOff>
      <xdr:row>14</xdr:row>
      <xdr:rowOff>8659</xdr:rowOff>
    </xdr:from>
    <xdr:to>
      <xdr:col>10</xdr:col>
      <xdr:colOff>903720</xdr:colOff>
      <xdr:row>23</xdr:row>
      <xdr:rowOff>0</xdr:rowOff>
    </xdr:to>
    <xdr:graphicFrame macro="">
      <xdr:nvGraphicFramePr>
        <xdr:cNvPr id="4404" name="Grafico 2">
          <a:extLst>
            <a:ext uri="{FF2B5EF4-FFF2-40B4-BE49-F238E27FC236}">
              <a16:creationId xmlns:a16="http://schemas.microsoft.com/office/drawing/2014/main" id="{1DAE848C-5F13-0FFC-DC4F-FBFC39D3E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28287</xdr:colOff>
      <xdr:row>0</xdr:row>
      <xdr:rowOff>46470</xdr:rowOff>
    </xdr:from>
    <xdr:to>
      <xdr:col>2</xdr:col>
      <xdr:colOff>787901</xdr:colOff>
      <xdr:row>3</xdr:row>
      <xdr:rowOff>144895</xdr:rowOff>
    </xdr:to>
    <xdr:pic>
      <xdr:nvPicPr>
        <xdr:cNvPr id="3" name="Grafik 1">
          <a:extLst>
            <a:ext uri="{FF2B5EF4-FFF2-40B4-BE49-F238E27FC236}">
              <a16:creationId xmlns:a16="http://schemas.microsoft.com/office/drawing/2014/main" id="{8D40E0EC-82E2-450F-80BF-411059919E61}"/>
            </a:ext>
          </a:extLst>
        </xdr:cNvPr>
        <xdr:cNvPicPr>
          <a:picLocks noChangeAspect="1"/>
        </xdr:cNvPicPr>
      </xdr:nvPicPr>
      <xdr:blipFill rotWithShape="1">
        <a:blip xmlns:r="http://schemas.openxmlformats.org/officeDocument/2006/relationships" r:embed="rId3"/>
        <a:srcRect l="-4245" t="31344" r="-3603" b="29593"/>
        <a:stretch/>
      </xdr:blipFill>
      <xdr:spPr>
        <a:xfrm>
          <a:off x="28287" y="46470"/>
          <a:ext cx="1905789" cy="69272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9525</xdr:colOff>
      <xdr:row>20</xdr:row>
      <xdr:rowOff>152400</xdr:rowOff>
    </xdr:from>
    <xdr:to>
      <xdr:col>10</xdr:col>
      <xdr:colOff>628650</xdr:colOff>
      <xdr:row>33</xdr:row>
      <xdr:rowOff>9526</xdr:rowOff>
    </xdr:to>
    <xdr:graphicFrame macro="">
      <xdr:nvGraphicFramePr>
        <xdr:cNvPr id="5427" name="Grafico 1">
          <a:extLst>
            <a:ext uri="{FF2B5EF4-FFF2-40B4-BE49-F238E27FC236}">
              <a16:creationId xmlns:a16="http://schemas.microsoft.com/office/drawing/2014/main" id="{F4066F83-979D-DF4A-3197-0EDAEEB27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9</xdr:row>
      <xdr:rowOff>6349</xdr:rowOff>
    </xdr:from>
    <xdr:to>
      <xdr:col>11</xdr:col>
      <xdr:colOff>9525</xdr:colOff>
      <xdr:row>20</xdr:row>
      <xdr:rowOff>9524</xdr:rowOff>
    </xdr:to>
    <xdr:graphicFrame macro="">
      <xdr:nvGraphicFramePr>
        <xdr:cNvPr id="5428" name="Grafico 2">
          <a:extLst>
            <a:ext uri="{FF2B5EF4-FFF2-40B4-BE49-F238E27FC236}">
              <a16:creationId xmlns:a16="http://schemas.microsoft.com/office/drawing/2014/main" id="{F78670A7-794B-7003-44F6-540094A52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50800</xdr:colOff>
      <xdr:row>1</xdr:row>
      <xdr:rowOff>76200</xdr:rowOff>
    </xdr:from>
    <xdr:to>
      <xdr:col>0</xdr:col>
      <xdr:colOff>1822194</xdr:colOff>
      <xdr:row>4</xdr:row>
      <xdr:rowOff>120651</xdr:rowOff>
    </xdr:to>
    <xdr:pic>
      <xdr:nvPicPr>
        <xdr:cNvPr id="2" name="Grafik 1">
          <a:extLst>
            <a:ext uri="{FF2B5EF4-FFF2-40B4-BE49-F238E27FC236}">
              <a16:creationId xmlns:a16="http://schemas.microsoft.com/office/drawing/2014/main" id="{7CC5BEE2-1EF8-4753-8129-BFC8CD1CD4BF}"/>
            </a:ext>
          </a:extLst>
        </xdr:cNvPr>
        <xdr:cNvPicPr>
          <a:picLocks noChangeAspect="1"/>
        </xdr:cNvPicPr>
      </xdr:nvPicPr>
      <xdr:blipFill rotWithShape="1">
        <a:blip xmlns:r="http://schemas.openxmlformats.org/officeDocument/2006/relationships" r:embed="rId1"/>
        <a:srcRect l="-4245" t="31344" r="-3603" b="29593"/>
        <a:stretch/>
      </xdr:blipFill>
      <xdr:spPr>
        <a:xfrm>
          <a:off x="50800" y="76200"/>
          <a:ext cx="1765044" cy="63500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44450</xdr:colOff>
      <xdr:row>1</xdr:row>
      <xdr:rowOff>38100</xdr:rowOff>
    </xdr:from>
    <xdr:to>
      <xdr:col>0</xdr:col>
      <xdr:colOff>1809494</xdr:colOff>
      <xdr:row>4</xdr:row>
      <xdr:rowOff>85725</xdr:rowOff>
    </xdr:to>
    <xdr:pic>
      <xdr:nvPicPr>
        <xdr:cNvPr id="2" name="Grafik 1">
          <a:extLst>
            <a:ext uri="{FF2B5EF4-FFF2-40B4-BE49-F238E27FC236}">
              <a16:creationId xmlns:a16="http://schemas.microsoft.com/office/drawing/2014/main" id="{E7CABD59-0273-472A-92A4-CF9D5D2293BB}"/>
            </a:ext>
          </a:extLst>
        </xdr:cNvPr>
        <xdr:cNvPicPr>
          <a:picLocks noChangeAspect="1"/>
        </xdr:cNvPicPr>
      </xdr:nvPicPr>
      <xdr:blipFill rotWithShape="1">
        <a:blip xmlns:r="http://schemas.openxmlformats.org/officeDocument/2006/relationships" r:embed="rId1"/>
        <a:srcRect l="-4245" t="31344" r="-3603" b="29593"/>
        <a:stretch/>
      </xdr:blipFill>
      <xdr:spPr>
        <a:xfrm>
          <a:off x="44450" y="238125"/>
          <a:ext cx="1765044" cy="6477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57150</xdr:colOff>
      <xdr:row>20</xdr:row>
      <xdr:rowOff>88899</xdr:rowOff>
    </xdr:from>
    <xdr:to>
      <xdr:col>4</xdr:col>
      <xdr:colOff>1123950</xdr:colOff>
      <xdr:row>35</xdr:row>
      <xdr:rowOff>484910</xdr:rowOff>
    </xdr:to>
    <xdr:graphicFrame macro="">
      <xdr:nvGraphicFramePr>
        <xdr:cNvPr id="4460547" name="Grafico 1">
          <a:extLst>
            <a:ext uri="{FF2B5EF4-FFF2-40B4-BE49-F238E27FC236}">
              <a16:creationId xmlns:a16="http://schemas.microsoft.com/office/drawing/2014/main" id="{9459DFC2-D894-CA82-7505-A37164CA1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39687</xdr:colOff>
      <xdr:row>0</xdr:row>
      <xdr:rowOff>38100</xdr:rowOff>
    </xdr:from>
    <xdr:to>
      <xdr:col>1</xdr:col>
      <xdr:colOff>439481</xdr:colOff>
      <xdr:row>4</xdr:row>
      <xdr:rowOff>41274</xdr:rowOff>
    </xdr:to>
    <xdr:pic>
      <xdr:nvPicPr>
        <xdr:cNvPr id="2" name="Grafik 1">
          <a:extLst>
            <a:ext uri="{FF2B5EF4-FFF2-40B4-BE49-F238E27FC236}">
              <a16:creationId xmlns:a16="http://schemas.microsoft.com/office/drawing/2014/main" id="{9E44C611-0A23-4A0C-9C5C-740595317E05}"/>
            </a:ext>
          </a:extLst>
        </xdr:cNvPr>
        <xdr:cNvPicPr>
          <a:picLocks noChangeAspect="1"/>
        </xdr:cNvPicPr>
      </xdr:nvPicPr>
      <xdr:blipFill rotWithShape="1">
        <a:blip xmlns:r="http://schemas.openxmlformats.org/officeDocument/2006/relationships" r:embed="rId2"/>
        <a:srcRect l="-4245" t="31344" r="-3603" b="29593"/>
        <a:stretch/>
      </xdr:blipFill>
      <xdr:spPr>
        <a:xfrm>
          <a:off x="39687" y="38100"/>
          <a:ext cx="1761869" cy="6508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20493</xdr:colOff>
      <xdr:row>24</xdr:row>
      <xdr:rowOff>77932</xdr:rowOff>
    </xdr:from>
    <xdr:to>
      <xdr:col>1</xdr:col>
      <xdr:colOff>807893</xdr:colOff>
      <xdr:row>49</xdr:row>
      <xdr:rowOff>98136</xdr:rowOff>
    </xdr:to>
    <xdr:graphicFrame macro="">
      <xdr:nvGraphicFramePr>
        <xdr:cNvPr id="1113299" name="Grafico 1">
          <a:extLst>
            <a:ext uri="{FF2B5EF4-FFF2-40B4-BE49-F238E27FC236}">
              <a16:creationId xmlns:a16="http://schemas.microsoft.com/office/drawing/2014/main" id="{AF90D901-6695-6F8A-E74E-5850DBD2A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925657</xdr:colOff>
      <xdr:row>24</xdr:row>
      <xdr:rowOff>77932</xdr:rowOff>
    </xdr:from>
    <xdr:to>
      <xdr:col>3</xdr:col>
      <xdr:colOff>1296554</xdr:colOff>
      <xdr:row>49</xdr:row>
      <xdr:rowOff>121227</xdr:rowOff>
    </xdr:to>
    <xdr:graphicFrame macro="">
      <xdr:nvGraphicFramePr>
        <xdr:cNvPr id="1113300" name="Grafico 2">
          <a:extLst>
            <a:ext uri="{FF2B5EF4-FFF2-40B4-BE49-F238E27FC236}">
              <a16:creationId xmlns:a16="http://schemas.microsoft.com/office/drawing/2014/main" id="{CC5C609F-433A-73D2-73DF-5E8934F47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44450</xdr:colOff>
      <xdr:row>0</xdr:row>
      <xdr:rowOff>38100</xdr:rowOff>
    </xdr:from>
    <xdr:to>
      <xdr:col>0</xdr:col>
      <xdr:colOff>1809494</xdr:colOff>
      <xdr:row>3</xdr:row>
      <xdr:rowOff>114300</xdr:rowOff>
    </xdr:to>
    <xdr:pic>
      <xdr:nvPicPr>
        <xdr:cNvPr id="2" name="Grafik 1">
          <a:extLst>
            <a:ext uri="{FF2B5EF4-FFF2-40B4-BE49-F238E27FC236}">
              <a16:creationId xmlns:a16="http://schemas.microsoft.com/office/drawing/2014/main" id="{FAE6474C-CFC3-4849-985F-1FF0D5ADCC9D}"/>
            </a:ext>
          </a:extLst>
        </xdr:cNvPr>
        <xdr:cNvPicPr>
          <a:picLocks noChangeAspect="1"/>
        </xdr:cNvPicPr>
      </xdr:nvPicPr>
      <xdr:blipFill rotWithShape="1">
        <a:blip xmlns:r="http://schemas.openxmlformats.org/officeDocument/2006/relationships" r:embed="rId3"/>
        <a:srcRect l="-4245" t="31344" r="-3603" b="29593"/>
        <a:stretch/>
      </xdr:blipFill>
      <xdr:spPr>
        <a:xfrm>
          <a:off x="47625" y="238125"/>
          <a:ext cx="1761869" cy="644525"/>
        </a:xfrm>
        <a:prstGeom prst="rect">
          <a:avLst/>
        </a:prstGeom>
      </xdr:spPr>
    </xdr:pic>
    <xdr:clientData/>
  </xdr:twoCellAnchor>
  <xdr:twoCellAnchor>
    <xdr:from>
      <xdr:col>0</xdr:col>
      <xdr:colOff>0</xdr:colOff>
      <xdr:row>74</xdr:row>
      <xdr:rowOff>19050</xdr:rowOff>
    </xdr:from>
    <xdr:to>
      <xdr:col>1</xdr:col>
      <xdr:colOff>790575</xdr:colOff>
      <xdr:row>96</xdr:row>
      <xdr:rowOff>77932</xdr:rowOff>
    </xdr:to>
    <xdr:graphicFrame macro="">
      <xdr:nvGraphicFramePr>
        <xdr:cNvPr id="6" name="Grafico 1">
          <a:extLst>
            <a:ext uri="{FF2B5EF4-FFF2-40B4-BE49-F238E27FC236}">
              <a16:creationId xmlns:a16="http://schemas.microsoft.com/office/drawing/2014/main" id="{5ED49DAC-C1DB-43B3-9292-1B95B6500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942975</xdr:colOff>
      <xdr:row>74</xdr:row>
      <xdr:rowOff>25400</xdr:rowOff>
    </xdr:from>
    <xdr:to>
      <xdr:col>4</xdr:col>
      <xdr:colOff>866</xdr:colOff>
      <xdr:row>96</xdr:row>
      <xdr:rowOff>77932</xdr:rowOff>
    </xdr:to>
    <xdr:graphicFrame macro="">
      <xdr:nvGraphicFramePr>
        <xdr:cNvPr id="7" name="Grafico 2">
          <a:extLst>
            <a:ext uri="{FF2B5EF4-FFF2-40B4-BE49-F238E27FC236}">
              <a16:creationId xmlns:a16="http://schemas.microsoft.com/office/drawing/2014/main" id="{789A8A74-7936-4271-9D53-C9093A858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44450</xdr:colOff>
      <xdr:row>50</xdr:row>
      <xdr:rowOff>38100</xdr:rowOff>
    </xdr:from>
    <xdr:ext cx="1765044" cy="633268"/>
    <xdr:pic>
      <xdr:nvPicPr>
        <xdr:cNvPr id="8" name="Grafik 1">
          <a:extLst>
            <a:ext uri="{FF2B5EF4-FFF2-40B4-BE49-F238E27FC236}">
              <a16:creationId xmlns:a16="http://schemas.microsoft.com/office/drawing/2014/main" id="{CDB0BCAD-C558-4829-80A8-FD996AE2CA73}"/>
            </a:ext>
          </a:extLst>
        </xdr:cNvPr>
        <xdr:cNvPicPr>
          <a:picLocks noChangeAspect="1"/>
        </xdr:cNvPicPr>
      </xdr:nvPicPr>
      <xdr:blipFill rotWithShape="1">
        <a:blip xmlns:r="http://schemas.openxmlformats.org/officeDocument/2006/relationships" r:embed="rId3"/>
        <a:srcRect l="-4245" t="31344" r="-3603" b="29593"/>
        <a:stretch/>
      </xdr:blipFill>
      <xdr:spPr>
        <a:xfrm>
          <a:off x="44450" y="38100"/>
          <a:ext cx="1765044" cy="633268"/>
        </a:xfrm>
        <a:prstGeom prst="rect">
          <a:avLst/>
        </a:prstGeom>
      </xdr:spPr>
    </xdr:pic>
    <xdr:clientData/>
  </xdr:oneCellAnchor>
  <xdr:twoCellAnchor>
    <xdr:from>
      <xdr:col>0</xdr:col>
      <xdr:colOff>0</xdr:colOff>
      <xdr:row>121</xdr:row>
      <xdr:rowOff>103910</xdr:rowOff>
    </xdr:from>
    <xdr:to>
      <xdr:col>1</xdr:col>
      <xdr:colOff>790575</xdr:colOff>
      <xdr:row>145</xdr:row>
      <xdr:rowOff>75047</xdr:rowOff>
    </xdr:to>
    <xdr:graphicFrame macro="">
      <xdr:nvGraphicFramePr>
        <xdr:cNvPr id="9" name="Grafico 1">
          <a:extLst>
            <a:ext uri="{FF2B5EF4-FFF2-40B4-BE49-F238E27FC236}">
              <a16:creationId xmlns:a16="http://schemas.microsoft.com/office/drawing/2014/main" id="{E008681C-DD19-4C05-A37B-091FDEE7F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942975</xdr:colOff>
      <xdr:row>121</xdr:row>
      <xdr:rowOff>95250</xdr:rowOff>
    </xdr:from>
    <xdr:to>
      <xdr:col>4</xdr:col>
      <xdr:colOff>0</xdr:colOff>
      <xdr:row>145</xdr:row>
      <xdr:rowOff>75046</xdr:rowOff>
    </xdr:to>
    <xdr:graphicFrame macro="">
      <xdr:nvGraphicFramePr>
        <xdr:cNvPr id="10" name="Grafico 2">
          <a:extLst>
            <a:ext uri="{FF2B5EF4-FFF2-40B4-BE49-F238E27FC236}">
              <a16:creationId xmlns:a16="http://schemas.microsoft.com/office/drawing/2014/main" id="{F8572569-E93D-4FDB-B95C-F79A719CE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44450</xdr:colOff>
      <xdr:row>97</xdr:row>
      <xdr:rowOff>38100</xdr:rowOff>
    </xdr:from>
    <xdr:ext cx="1765044" cy="633268"/>
    <xdr:pic>
      <xdr:nvPicPr>
        <xdr:cNvPr id="11" name="Grafik 1">
          <a:extLst>
            <a:ext uri="{FF2B5EF4-FFF2-40B4-BE49-F238E27FC236}">
              <a16:creationId xmlns:a16="http://schemas.microsoft.com/office/drawing/2014/main" id="{FABBF5DB-A331-4A73-B5A2-2E08DDFFB584}"/>
            </a:ext>
          </a:extLst>
        </xdr:cNvPr>
        <xdr:cNvPicPr>
          <a:picLocks noChangeAspect="1"/>
        </xdr:cNvPicPr>
      </xdr:nvPicPr>
      <xdr:blipFill rotWithShape="1">
        <a:blip xmlns:r="http://schemas.openxmlformats.org/officeDocument/2006/relationships" r:embed="rId3"/>
        <a:srcRect l="-4245" t="31344" r="-3603" b="29593"/>
        <a:stretch/>
      </xdr:blipFill>
      <xdr:spPr>
        <a:xfrm>
          <a:off x="44450" y="38100"/>
          <a:ext cx="1765044" cy="633268"/>
        </a:xfrm>
        <a:prstGeom prst="rect">
          <a:avLst/>
        </a:prstGeom>
      </xdr:spPr>
    </xdr:pic>
    <xdr:clientData/>
  </xdr:oneCellAnchor>
  <xdr:twoCellAnchor>
    <xdr:from>
      <xdr:col>0</xdr:col>
      <xdr:colOff>20493</xdr:colOff>
      <xdr:row>170</xdr:row>
      <xdr:rowOff>57150</xdr:rowOff>
    </xdr:from>
    <xdr:to>
      <xdr:col>1</xdr:col>
      <xdr:colOff>801543</xdr:colOff>
      <xdr:row>193</xdr:row>
      <xdr:rowOff>173183</xdr:rowOff>
    </xdr:to>
    <xdr:graphicFrame macro="">
      <xdr:nvGraphicFramePr>
        <xdr:cNvPr id="12" name="Grafico 1">
          <a:extLst>
            <a:ext uri="{FF2B5EF4-FFF2-40B4-BE49-F238E27FC236}">
              <a16:creationId xmlns:a16="http://schemas.microsoft.com/office/drawing/2014/main" id="{3820D165-1CF7-47CE-B365-86B4F1131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939800</xdr:colOff>
      <xdr:row>170</xdr:row>
      <xdr:rowOff>63500</xdr:rowOff>
    </xdr:from>
    <xdr:to>
      <xdr:col>4</xdr:col>
      <xdr:colOff>0</xdr:colOff>
      <xdr:row>193</xdr:row>
      <xdr:rowOff>178955</xdr:rowOff>
    </xdr:to>
    <xdr:graphicFrame macro="">
      <xdr:nvGraphicFramePr>
        <xdr:cNvPr id="13" name="Grafico 2">
          <a:extLst>
            <a:ext uri="{FF2B5EF4-FFF2-40B4-BE49-F238E27FC236}">
              <a16:creationId xmlns:a16="http://schemas.microsoft.com/office/drawing/2014/main" id="{AC45416E-7F41-4523-ABBE-571C4A7E7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0</xdr:col>
      <xdr:colOff>44450</xdr:colOff>
      <xdr:row>146</xdr:row>
      <xdr:rowOff>38100</xdr:rowOff>
    </xdr:from>
    <xdr:ext cx="1765044" cy="633268"/>
    <xdr:pic>
      <xdr:nvPicPr>
        <xdr:cNvPr id="14" name="Grafik 1">
          <a:extLst>
            <a:ext uri="{FF2B5EF4-FFF2-40B4-BE49-F238E27FC236}">
              <a16:creationId xmlns:a16="http://schemas.microsoft.com/office/drawing/2014/main" id="{2C20FDA2-4F67-4C31-BE44-84CC2F145B3E}"/>
            </a:ext>
          </a:extLst>
        </xdr:cNvPr>
        <xdr:cNvPicPr>
          <a:picLocks noChangeAspect="1"/>
        </xdr:cNvPicPr>
      </xdr:nvPicPr>
      <xdr:blipFill rotWithShape="1">
        <a:blip xmlns:r="http://schemas.openxmlformats.org/officeDocument/2006/relationships" r:embed="rId3"/>
        <a:srcRect l="-4245" t="31344" r="-3603" b="29593"/>
        <a:stretch/>
      </xdr:blipFill>
      <xdr:spPr>
        <a:xfrm>
          <a:off x="44450" y="38100"/>
          <a:ext cx="1765044" cy="633268"/>
        </a:xfrm>
        <a:prstGeom prst="rect">
          <a:avLst/>
        </a:prstGeom>
      </xdr:spPr>
    </xdr:pic>
    <xdr:clientData/>
  </xdr:oneCellAnchor>
  <xdr:twoCellAnchor>
    <xdr:from>
      <xdr:col>0</xdr:col>
      <xdr:colOff>8659</xdr:colOff>
      <xdr:row>219</xdr:row>
      <xdr:rowOff>50800</xdr:rowOff>
    </xdr:from>
    <xdr:to>
      <xdr:col>1</xdr:col>
      <xdr:colOff>796059</xdr:colOff>
      <xdr:row>242</xdr:row>
      <xdr:rowOff>190500</xdr:rowOff>
    </xdr:to>
    <xdr:graphicFrame macro="">
      <xdr:nvGraphicFramePr>
        <xdr:cNvPr id="15" name="Grafico 1">
          <a:extLst>
            <a:ext uri="{FF2B5EF4-FFF2-40B4-BE49-F238E27FC236}">
              <a16:creationId xmlns:a16="http://schemas.microsoft.com/office/drawing/2014/main" id="{C125C237-2EE4-484C-83EC-E7A13EAD1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942975</xdr:colOff>
      <xdr:row>219</xdr:row>
      <xdr:rowOff>57150</xdr:rowOff>
    </xdr:from>
    <xdr:to>
      <xdr:col>4</xdr:col>
      <xdr:colOff>0</xdr:colOff>
      <xdr:row>242</xdr:row>
      <xdr:rowOff>184727</xdr:rowOff>
    </xdr:to>
    <xdr:graphicFrame macro="">
      <xdr:nvGraphicFramePr>
        <xdr:cNvPr id="16" name="Grafico 2">
          <a:extLst>
            <a:ext uri="{FF2B5EF4-FFF2-40B4-BE49-F238E27FC236}">
              <a16:creationId xmlns:a16="http://schemas.microsoft.com/office/drawing/2014/main" id="{C77E0A7C-AA88-47B6-911B-C34B1D3B4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0</xdr:col>
      <xdr:colOff>44450</xdr:colOff>
      <xdr:row>195</xdr:row>
      <xdr:rowOff>38100</xdr:rowOff>
    </xdr:from>
    <xdr:ext cx="1765044" cy="633268"/>
    <xdr:pic>
      <xdr:nvPicPr>
        <xdr:cNvPr id="17" name="Grafik 1">
          <a:extLst>
            <a:ext uri="{FF2B5EF4-FFF2-40B4-BE49-F238E27FC236}">
              <a16:creationId xmlns:a16="http://schemas.microsoft.com/office/drawing/2014/main" id="{1ED7BECB-3013-4346-BC3E-361147D59E75}"/>
            </a:ext>
          </a:extLst>
        </xdr:cNvPr>
        <xdr:cNvPicPr>
          <a:picLocks noChangeAspect="1"/>
        </xdr:cNvPicPr>
      </xdr:nvPicPr>
      <xdr:blipFill rotWithShape="1">
        <a:blip xmlns:r="http://schemas.openxmlformats.org/officeDocument/2006/relationships" r:embed="rId3"/>
        <a:srcRect l="-4245" t="31344" r="-3603" b="29593"/>
        <a:stretch/>
      </xdr:blipFill>
      <xdr:spPr>
        <a:xfrm>
          <a:off x="44450" y="38100"/>
          <a:ext cx="1765044" cy="633268"/>
        </a:xfrm>
        <a:prstGeom prst="rect">
          <a:avLst/>
        </a:prstGeom>
      </xdr:spPr>
    </xdr:pic>
    <xdr:clientData/>
  </xdr:oneCellAnchor>
  <xdr:twoCellAnchor>
    <xdr:from>
      <xdr:col>0</xdr:col>
      <xdr:colOff>8659</xdr:colOff>
      <xdr:row>268</xdr:row>
      <xdr:rowOff>83416</xdr:rowOff>
    </xdr:from>
    <xdr:to>
      <xdr:col>1</xdr:col>
      <xdr:colOff>796059</xdr:colOff>
      <xdr:row>292</xdr:row>
      <xdr:rowOff>184727</xdr:rowOff>
    </xdr:to>
    <xdr:graphicFrame macro="">
      <xdr:nvGraphicFramePr>
        <xdr:cNvPr id="18" name="Grafico 1">
          <a:extLst>
            <a:ext uri="{FF2B5EF4-FFF2-40B4-BE49-F238E27FC236}">
              <a16:creationId xmlns:a16="http://schemas.microsoft.com/office/drawing/2014/main" id="{4D502B7C-5400-4435-97F5-8AC255E4D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942975</xdr:colOff>
      <xdr:row>268</xdr:row>
      <xdr:rowOff>86591</xdr:rowOff>
    </xdr:from>
    <xdr:to>
      <xdr:col>4</xdr:col>
      <xdr:colOff>0</xdr:colOff>
      <xdr:row>292</xdr:row>
      <xdr:rowOff>184727</xdr:rowOff>
    </xdr:to>
    <xdr:graphicFrame macro="">
      <xdr:nvGraphicFramePr>
        <xdr:cNvPr id="19" name="Grafico 2">
          <a:extLst>
            <a:ext uri="{FF2B5EF4-FFF2-40B4-BE49-F238E27FC236}">
              <a16:creationId xmlns:a16="http://schemas.microsoft.com/office/drawing/2014/main" id="{DBFCD30A-0DAF-4524-BBC6-954549C12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0</xdr:col>
      <xdr:colOff>44450</xdr:colOff>
      <xdr:row>244</xdr:row>
      <xdr:rowOff>38100</xdr:rowOff>
    </xdr:from>
    <xdr:ext cx="1765044" cy="633268"/>
    <xdr:pic>
      <xdr:nvPicPr>
        <xdr:cNvPr id="20" name="Grafik 1">
          <a:extLst>
            <a:ext uri="{FF2B5EF4-FFF2-40B4-BE49-F238E27FC236}">
              <a16:creationId xmlns:a16="http://schemas.microsoft.com/office/drawing/2014/main" id="{5D40A105-A332-4D51-98F4-C0542859625C}"/>
            </a:ext>
          </a:extLst>
        </xdr:cNvPr>
        <xdr:cNvPicPr>
          <a:picLocks noChangeAspect="1"/>
        </xdr:cNvPicPr>
      </xdr:nvPicPr>
      <xdr:blipFill rotWithShape="1">
        <a:blip xmlns:r="http://schemas.openxmlformats.org/officeDocument/2006/relationships" r:embed="rId3"/>
        <a:srcRect l="-4245" t="31344" r="-3603" b="29593"/>
        <a:stretch/>
      </xdr:blipFill>
      <xdr:spPr>
        <a:xfrm>
          <a:off x="44450" y="38100"/>
          <a:ext cx="1765044" cy="63326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69850</xdr:colOff>
      <xdr:row>0</xdr:row>
      <xdr:rowOff>69850</xdr:rowOff>
    </xdr:from>
    <xdr:to>
      <xdr:col>0</xdr:col>
      <xdr:colOff>1651000</xdr:colOff>
      <xdr:row>3</xdr:row>
      <xdr:rowOff>108097</xdr:rowOff>
    </xdr:to>
    <xdr:pic>
      <xdr:nvPicPr>
        <xdr:cNvPr id="3" name="Grafik 1">
          <a:extLst>
            <a:ext uri="{FF2B5EF4-FFF2-40B4-BE49-F238E27FC236}">
              <a16:creationId xmlns:a16="http://schemas.microsoft.com/office/drawing/2014/main" id="{5E0591CC-6A60-4189-AB86-278A0CC902B0}"/>
            </a:ext>
          </a:extLst>
        </xdr:cNvPr>
        <xdr:cNvPicPr>
          <a:picLocks noChangeAspect="1"/>
        </xdr:cNvPicPr>
      </xdr:nvPicPr>
      <xdr:blipFill rotWithShape="1">
        <a:blip xmlns:r="http://schemas.openxmlformats.org/officeDocument/2006/relationships" r:embed="rId1"/>
        <a:srcRect l="-4245" t="31344" r="-3603" b="29593"/>
        <a:stretch/>
      </xdr:blipFill>
      <xdr:spPr>
        <a:xfrm>
          <a:off x="69850" y="69850"/>
          <a:ext cx="1581150" cy="571647"/>
        </a:xfrm>
        <a:prstGeom prst="rect">
          <a:avLst/>
        </a:prstGeom>
      </xdr:spPr>
    </xdr:pic>
    <xdr:clientData/>
  </xdr:twoCellAnchor>
  <xdr:oneCellAnchor>
    <xdr:from>
      <xdr:col>0</xdr:col>
      <xdr:colOff>69850</xdr:colOff>
      <xdr:row>34</xdr:row>
      <xdr:rowOff>31750</xdr:rowOff>
    </xdr:from>
    <xdr:ext cx="1581150" cy="571647"/>
    <xdr:pic>
      <xdr:nvPicPr>
        <xdr:cNvPr id="5" name="Grafik 1">
          <a:extLst>
            <a:ext uri="{FF2B5EF4-FFF2-40B4-BE49-F238E27FC236}">
              <a16:creationId xmlns:a16="http://schemas.microsoft.com/office/drawing/2014/main" id="{15E470FD-303A-4780-8D4A-C91B3E3A1648}"/>
            </a:ext>
          </a:extLst>
        </xdr:cNvPr>
        <xdr:cNvPicPr>
          <a:picLocks noChangeAspect="1"/>
        </xdr:cNvPicPr>
      </xdr:nvPicPr>
      <xdr:blipFill rotWithShape="1">
        <a:blip xmlns:r="http://schemas.openxmlformats.org/officeDocument/2006/relationships" r:embed="rId1"/>
        <a:srcRect l="-4245" t="31344" r="-3603" b="29593"/>
        <a:stretch/>
      </xdr:blipFill>
      <xdr:spPr>
        <a:xfrm>
          <a:off x="69850" y="31750"/>
          <a:ext cx="1581150" cy="571647"/>
        </a:xfrm>
        <a:prstGeom prst="rect">
          <a:avLst/>
        </a:prstGeom>
      </xdr:spPr>
    </xdr:pic>
    <xdr:clientData/>
  </xdr:oneCellAnchor>
  <xdr:twoCellAnchor>
    <xdr:from>
      <xdr:col>0</xdr:col>
      <xdr:colOff>28574</xdr:colOff>
      <xdr:row>39</xdr:row>
      <xdr:rowOff>19050</xdr:rowOff>
    </xdr:from>
    <xdr:to>
      <xdr:col>6</xdr:col>
      <xdr:colOff>895349</xdr:colOff>
      <xdr:row>73</xdr:row>
      <xdr:rowOff>12700</xdr:rowOff>
    </xdr:to>
    <xdr:graphicFrame macro="">
      <xdr:nvGraphicFramePr>
        <xdr:cNvPr id="6" name="Grafico 5">
          <a:extLst>
            <a:ext uri="{FF2B5EF4-FFF2-40B4-BE49-F238E27FC236}">
              <a16:creationId xmlns:a16="http://schemas.microsoft.com/office/drawing/2014/main" id="{93E085FE-4912-4011-008E-99054B1B0D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336550</xdr:colOff>
      <xdr:row>85</xdr:row>
      <xdr:rowOff>67750</xdr:rowOff>
    </xdr:from>
    <xdr:to>
      <xdr:col>1</xdr:col>
      <xdr:colOff>1003300</xdr:colOff>
      <xdr:row>88</xdr:row>
      <xdr:rowOff>184297</xdr:rowOff>
    </xdr:to>
    <xdr:pic>
      <xdr:nvPicPr>
        <xdr:cNvPr id="5" name="Grafik 1">
          <a:extLst>
            <a:ext uri="{FF2B5EF4-FFF2-40B4-BE49-F238E27FC236}">
              <a16:creationId xmlns:a16="http://schemas.microsoft.com/office/drawing/2014/main" id="{AE808497-6535-4083-80C6-821C213A08F8}"/>
            </a:ext>
          </a:extLst>
        </xdr:cNvPr>
        <xdr:cNvPicPr>
          <a:picLocks noChangeAspect="1"/>
        </xdr:cNvPicPr>
      </xdr:nvPicPr>
      <xdr:blipFill rotWithShape="1">
        <a:blip xmlns:r="http://schemas.openxmlformats.org/officeDocument/2006/relationships" r:embed="rId1"/>
        <a:srcRect l="-4245" t="31344" r="-3603" b="29593"/>
        <a:stretch/>
      </xdr:blipFill>
      <xdr:spPr>
        <a:xfrm>
          <a:off x="336550" y="67750"/>
          <a:ext cx="1955800" cy="707097"/>
        </a:xfrm>
        <a:prstGeom prst="rect">
          <a:avLst/>
        </a:prstGeom>
      </xdr:spPr>
    </xdr:pic>
    <xdr:clientData/>
  </xdr:twoCellAnchor>
  <xdr:oneCellAnchor>
    <xdr:from>
      <xdr:col>0</xdr:col>
      <xdr:colOff>336550</xdr:colOff>
      <xdr:row>0</xdr:row>
      <xdr:rowOff>67750</xdr:rowOff>
    </xdr:from>
    <xdr:ext cx="1955800" cy="707097"/>
    <xdr:pic>
      <xdr:nvPicPr>
        <xdr:cNvPr id="6" name="Grafik 1">
          <a:extLst>
            <a:ext uri="{FF2B5EF4-FFF2-40B4-BE49-F238E27FC236}">
              <a16:creationId xmlns:a16="http://schemas.microsoft.com/office/drawing/2014/main" id="{2E732200-3CF3-4D76-B67B-7B9964624654}"/>
            </a:ext>
          </a:extLst>
        </xdr:cNvPr>
        <xdr:cNvPicPr>
          <a:picLocks noChangeAspect="1"/>
        </xdr:cNvPicPr>
      </xdr:nvPicPr>
      <xdr:blipFill rotWithShape="1">
        <a:blip xmlns:r="http://schemas.openxmlformats.org/officeDocument/2006/relationships" r:embed="rId1"/>
        <a:srcRect l="-4245" t="31344" r="-3603" b="29593"/>
        <a:stretch/>
      </xdr:blipFill>
      <xdr:spPr>
        <a:xfrm>
          <a:off x="336550" y="6106600"/>
          <a:ext cx="1955800" cy="707097"/>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1</xdr:colOff>
      <xdr:row>0</xdr:row>
      <xdr:rowOff>47625</xdr:rowOff>
    </xdr:from>
    <xdr:to>
      <xdr:col>2</xdr:col>
      <xdr:colOff>1</xdr:colOff>
      <xdr:row>3</xdr:row>
      <xdr:rowOff>9525</xdr:rowOff>
    </xdr:to>
    <xdr:pic>
      <xdr:nvPicPr>
        <xdr:cNvPr id="2" name="Grafik 1">
          <a:extLst>
            <a:ext uri="{FF2B5EF4-FFF2-40B4-BE49-F238E27FC236}">
              <a16:creationId xmlns:a16="http://schemas.microsoft.com/office/drawing/2014/main" id="{A67E1778-41AC-43EF-BE1A-F149D4E1E3DB}"/>
            </a:ext>
          </a:extLst>
        </xdr:cNvPr>
        <xdr:cNvPicPr>
          <a:picLocks noChangeAspect="1"/>
        </xdr:cNvPicPr>
      </xdr:nvPicPr>
      <xdr:blipFill rotWithShape="1">
        <a:blip xmlns:r="http://schemas.openxmlformats.org/officeDocument/2006/relationships" r:embed="rId1"/>
        <a:srcRect l="-4245" t="31344" r="-3603" b="29593"/>
        <a:stretch/>
      </xdr:blipFill>
      <xdr:spPr>
        <a:xfrm>
          <a:off x="1" y="47625"/>
          <a:ext cx="1219200" cy="438150"/>
        </a:xfrm>
        <a:prstGeom prst="rect">
          <a:avLst/>
        </a:prstGeom>
      </xdr:spPr>
    </xdr:pic>
    <xdr:clientData/>
  </xdr:twoCellAnchor>
  <xdr:twoCellAnchor>
    <xdr:from>
      <xdr:col>0</xdr:col>
      <xdr:colOff>0</xdr:colOff>
      <xdr:row>4</xdr:row>
      <xdr:rowOff>146050</xdr:rowOff>
    </xdr:from>
    <xdr:to>
      <xdr:col>9</xdr:col>
      <xdr:colOff>577850</xdr:colOff>
      <xdr:row>52</xdr:row>
      <xdr:rowOff>152400</xdr:rowOff>
    </xdr:to>
    <xdr:graphicFrame macro="">
      <xdr:nvGraphicFramePr>
        <xdr:cNvPr id="3" name="Grafico 1">
          <a:extLst>
            <a:ext uri="{FF2B5EF4-FFF2-40B4-BE49-F238E27FC236}">
              <a16:creationId xmlns:a16="http://schemas.microsoft.com/office/drawing/2014/main" id="{67319028-6C58-4165-8B51-7816BCB8A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xdr:colOff>
      <xdr:row>54</xdr:row>
      <xdr:rowOff>47625</xdr:rowOff>
    </xdr:from>
    <xdr:ext cx="1219200" cy="495300"/>
    <xdr:pic>
      <xdr:nvPicPr>
        <xdr:cNvPr id="4" name="Grafik 1">
          <a:extLst>
            <a:ext uri="{FF2B5EF4-FFF2-40B4-BE49-F238E27FC236}">
              <a16:creationId xmlns:a16="http://schemas.microsoft.com/office/drawing/2014/main" id="{99B61D04-F986-46AA-BD5C-F804801A2495}"/>
            </a:ext>
          </a:extLst>
        </xdr:cNvPr>
        <xdr:cNvPicPr>
          <a:picLocks noChangeAspect="1"/>
        </xdr:cNvPicPr>
      </xdr:nvPicPr>
      <xdr:blipFill rotWithShape="1">
        <a:blip xmlns:r="http://schemas.openxmlformats.org/officeDocument/2006/relationships" r:embed="rId1"/>
        <a:srcRect l="-4245" t="31344" r="-3603" b="29593"/>
        <a:stretch/>
      </xdr:blipFill>
      <xdr:spPr>
        <a:xfrm>
          <a:off x="1" y="47625"/>
          <a:ext cx="1219200" cy="495300"/>
        </a:xfrm>
        <a:prstGeom prst="rect">
          <a:avLst/>
        </a:prstGeom>
      </xdr:spPr>
    </xdr:pic>
    <xdr:clientData/>
  </xdr:oneCellAnchor>
  <xdr:twoCellAnchor>
    <xdr:from>
      <xdr:col>0</xdr:col>
      <xdr:colOff>0</xdr:colOff>
      <xdr:row>59</xdr:row>
      <xdr:rowOff>0</xdr:rowOff>
    </xdr:from>
    <xdr:to>
      <xdr:col>9</xdr:col>
      <xdr:colOff>552450</xdr:colOff>
      <xdr:row>107</xdr:row>
      <xdr:rowOff>0</xdr:rowOff>
    </xdr:to>
    <xdr:graphicFrame macro="">
      <xdr:nvGraphicFramePr>
        <xdr:cNvPr id="5" name="Grafico 1">
          <a:extLst>
            <a:ext uri="{FF2B5EF4-FFF2-40B4-BE49-F238E27FC236}">
              <a16:creationId xmlns:a16="http://schemas.microsoft.com/office/drawing/2014/main" id="{266247E9-A654-4A1A-AB2D-5C2223136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57150</xdr:colOff>
      <xdr:row>17</xdr:row>
      <xdr:rowOff>85724</xdr:rowOff>
    </xdr:from>
    <xdr:to>
      <xdr:col>4</xdr:col>
      <xdr:colOff>1123950</xdr:colOff>
      <xdr:row>33</xdr:row>
      <xdr:rowOff>257174</xdr:rowOff>
    </xdr:to>
    <xdr:graphicFrame macro="">
      <xdr:nvGraphicFramePr>
        <xdr:cNvPr id="2" name="Grafico 1">
          <a:extLst>
            <a:ext uri="{FF2B5EF4-FFF2-40B4-BE49-F238E27FC236}">
              <a16:creationId xmlns:a16="http://schemas.microsoft.com/office/drawing/2014/main" id="{8726AFFD-7AC4-4AA8-9BE1-7CA7B4A55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142876</xdr:rowOff>
    </xdr:from>
    <xdr:to>
      <xdr:col>14</xdr:col>
      <xdr:colOff>600075</xdr:colOff>
      <xdr:row>38</xdr:row>
      <xdr:rowOff>1</xdr:rowOff>
    </xdr:to>
    <xdr:graphicFrame macro="">
      <xdr:nvGraphicFramePr>
        <xdr:cNvPr id="2" name="Grafico 1">
          <a:extLst>
            <a:ext uri="{FF2B5EF4-FFF2-40B4-BE49-F238E27FC236}">
              <a16:creationId xmlns:a16="http://schemas.microsoft.com/office/drawing/2014/main" id="{5F77101C-1E1E-467D-B80D-09BC3DB7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66674</xdr:colOff>
      <xdr:row>0</xdr:row>
      <xdr:rowOff>38101</xdr:rowOff>
    </xdr:from>
    <xdr:to>
      <xdr:col>3</xdr:col>
      <xdr:colOff>533400</xdr:colOff>
      <xdr:row>3</xdr:row>
      <xdr:rowOff>85726</xdr:rowOff>
    </xdr:to>
    <xdr:pic>
      <xdr:nvPicPr>
        <xdr:cNvPr id="3" name="Immagine 2">
          <a:extLst>
            <a:ext uri="{FF2B5EF4-FFF2-40B4-BE49-F238E27FC236}">
              <a16:creationId xmlns:a16="http://schemas.microsoft.com/office/drawing/2014/main" id="{BD1E04CE-8C63-4AE3-B1DA-B42BBA9B7F63}"/>
            </a:ext>
          </a:extLst>
        </xdr:cNvPr>
        <xdr:cNvPicPr>
          <a:picLocks noChangeAspect="1"/>
        </xdr:cNvPicPr>
      </xdr:nvPicPr>
      <xdr:blipFill>
        <a:blip xmlns:r="http://schemas.openxmlformats.org/officeDocument/2006/relationships" r:embed="rId2"/>
        <a:stretch>
          <a:fillRect/>
        </a:stretch>
      </xdr:blipFill>
      <xdr:spPr>
        <a:xfrm>
          <a:off x="66674" y="38101"/>
          <a:ext cx="2295526" cy="533400"/>
        </a:xfrm>
        <a:prstGeom prst="rect">
          <a:avLst/>
        </a:prstGeom>
      </xdr:spPr>
    </xdr:pic>
    <xdr:clientData/>
  </xdr:twoCellAnchor>
  <xdr:twoCellAnchor>
    <xdr:from>
      <xdr:col>0</xdr:col>
      <xdr:colOff>0</xdr:colOff>
      <xdr:row>46</xdr:row>
      <xdr:rowOff>6351</xdr:rowOff>
    </xdr:from>
    <xdr:to>
      <xdr:col>14</xdr:col>
      <xdr:colOff>600075</xdr:colOff>
      <xdr:row>76</xdr:row>
      <xdr:rowOff>19051</xdr:rowOff>
    </xdr:to>
    <xdr:graphicFrame macro="">
      <xdr:nvGraphicFramePr>
        <xdr:cNvPr id="4" name="Grafico 3">
          <a:extLst>
            <a:ext uri="{FF2B5EF4-FFF2-40B4-BE49-F238E27FC236}">
              <a16:creationId xmlns:a16="http://schemas.microsoft.com/office/drawing/2014/main" id="{77D8C172-968A-422E-94BE-12E977542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69849</xdr:colOff>
      <xdr:row>40</xdr:row>
      <xdr:rowOff>38100</xdr:rowOff>
    </xdr:from>
    <xdr:to>
      <xdr:col>3</xdr:col>
      <xdr:colOff>552450</xdr:colOff>
      <xdr:row>43</xdr:row>
      <xdr:rowOff>152400</xdr:rowOff>
    </xdr:to>
    <xdr:pic>
      <xdr:nvPicPr>
        <xdr:cNvPr id="5" name="Immagine 4">
          <a:extLst>
            <a:ext uri="{FF2B5EF4-FFF2-40B4-BE49-F238E27FC236}">
              <a16:creationId xmlns:a16="http://schemas.microsoft.com/office/drawing/2014/main" id="{F5A75B3A-CAA7-4216-AD78-3B5FB4E4A522}"/>
            </a:ext>
          </a:extLst>
        </xdr:cNvPr>
        <xdr:cNvPicPr>
          <a:picLocks noChangeAspect="1"/>
        </xdr:cNvPicPr>
      </xdr:nvPicPr>
      <xdr:blipFill>
        <a:blip xmlns:r="http://schemas.openxmlformats.org/officeDocument/2006/relationships" r:embed="rId2"/>
        <a:stretch>
          <a:fillRect/>
        </a:stretch>
      </xdr:blipFill>
      <xdr:spPr>
        <a:xfrm>
          <a:off x="69849" y="6515100"/>
          <a:ext cx="2311401" cy="657225"/>
        </a:xfrm>
        <a:prstGeom prst="rect">
          <a:avLst/>
        </a:prstGeom>
      </xdr:spPr>
    </xdr:pic>
    <xdr:clientData/>
  </xdr:twoCellAnchor>
  <xdr:twoCellAnchor>
    <xdr:from>
      <xdr:col>0</xdr:col>
      <xdr:colOff>0</xdr:colOff>
      <xdr:row>84</xdr:row>
      <xdr:rowOff>28575</xdr:rowOff>
    </xdr:from>
    <xdr:to>
      <xdr:col>14</xdr:col>
      <xdr:colOff>596900</xdr:colOff>
      <xdr:row>113</xdr:row>
      <xdr:rowOff>9525</xdr:rowOff>
    </xdr:to>
    <xdr:graphicFrame macro="">
      <xdr:nvGraphicFramePr>
        <xdr:cNvPr id="6" name="Grafico 5">
          <a:extLst>
            <a:ext uri="{FF2B5EF4-FFF2-40B4-BE49-F238E27FC236}">
              <a16:creationId xmlns:a16="http://schemas.microsoft.com/office/drawing/2014/main" id="{75D28654-DE9A-4247-AEC9-E48D86914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95250</xdr:colOff>
      <xdr:row>78</xdr:row>
      <xdr:rowOff>38100</xdr:rowOff>
    </xdr:from>
    <xdr:to>
      <xdr:col>3</xdr:col>
      <xdr:colOff>552450</xdr:colOff>
      <xdr:row>81</xdr:row>
      <xdr:rowOff>123825</xdr:rowOff>
    </xdr:to>
    <xdr:pic>
      <xdr:nvPicPr>
        <xdr:cNvPr id="7" name="Immagine 6">
          <a:extLst>
            <a:ext uri="{FF2B5EF4-FFF2-40B4-BE49-F238E27FC236}">
              <a16:creationId xmlns:a16="http://schemas.microsoft.com/office/drawing/2014/main" id="{D7375831-0C4E-4953-97E3-684A316DEF91}"/>
            </a:ext>
          </a:extLst>
        </xdr:cNvPr>
        <xdr:cNvPicPr>
          <a:picLocks noChangeAspect="1"/>
        </xdr:cNvPicPr>
      </xdr:nvPicPr>
      <xdr:blipFill>
        <a:blip xmlns:r="http://schemas.openxmlformats.org/officeDocument/2006/relationships" r:embed="rId2"/>
        <a:stretch>
          <a:fillRect/>
        </a:stretch>
      </xdr:blipFill>
      <xdr:spPr>
        <a:xfrm>
          <a:off x="95250" y="12744450"/>
          <a:ext cx="2286000" cy="628650"/>
        </a:xfrm>
        <a:prstGeom prst="rect">
          <a:avLst/>
        </a:prstGeom>
      </xdr:spPr>
    </xdr:pic>
    <xdr:clientData/>
  </xdr:twoCellAnchor>
  <xdr:twoCellAnchor>
    <xdr:from>
      <xdr:col>0</xdr:col>
      <xdr:colOff>0</xdr:colOff>
      <xdr:row>122</xdr:row>
      <xdr:rowOff>28575</xdr:rowOff>
    </xdr:from>
    <xdr:to>
      <xdr:col>14</xdr:col>
      <xdr:colOff>596900</xdr:colOff>
      <xdr:row>150</xdr:row>
      <xdr:rowOff>12700</xdr:rowOff>
    </xdr:to>
    <xdr:graphicFrame macro="">
      <xdr:nvGraphicFramePr>
        <xdr:cNvPr id="8" name="Grafico 7">
          <a:extLst>
            <a:ext uri="{FF2B5EF4-FFF2-40B4-BE49-F238E27FC236}">
              <a16:creationId xmlns:a16="http://schemas.microsoft.com/office/drawing/2014/main" id="{4B03343A-776A-4893-A7F1-A92083376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95250</xdr:colOff>
      <xdr:row>116</xdr:row>
      <xdr:rowOff>38100</xdr:rowOff>
    </xdr:from>
    <xdr:ext cx="2286000" cy="619125"/>
    <xdr:pic>
      <xdr:nvPicPr>
        <xdr:cNvPr id="9" name="Immagine 8">
          <a:extLst>
            <a:ext uri="{FF2B5EF4-FFF2-40B4-BE49-F238E27FC236}">
              <a16:creationId xmlns:a16="http://schemas.microsoft.com/office/drawing/2014/main" id="{17A9C71B-752D-4397-9874-584C5ABB4AD6}"/>
            </a:ext>
          </a:extLst>
        </xdr:cNvPr>
        <xdr:cNvPicPr>
          <a:picLocks noChangeAspect="1"/>
        </xdr:cNvPicPr>
      </xdr:nvPicPr>
      <xdr:blipFill>
        <a:blip xmlns:r="http://schemas.openxmlformats.org/officeDocument/2006/relationships" r:embed="rId2"/>
        <a:stretch>
          <a:fillRect/>
        </a:stretch>
      </xdr:blipFill>
      <xdr:spPr>
        <a:xfrm>
          <a:off x="95250" y="12515850"/>
          <a:ext cx="2286000" cy="619125"/>
        </a:xfrm>
        <a:prstGeom prst="rect">
          <a:avLst/>
        </a:prstGeom>
      </xdr:spPr>
    </xdr:pic>
    <xdr:clientData/>
  </xdr:oneCellAnchor>
  <xdr:twoCellAnchor>
    <xdr:from>
      <xdr:col>0</xdr:col>
      <xdr:colOff>0</xdr:colOff>
      <xdr:row>160</xdr:row>
      <xdr:rowOff>25400</xdr:rowOff>
    </xdr:from>
    <xdr:to>
      <xdr:col>14</xdr:col>
      <xdr:colOff>600075</xdr:colOff>
      <xdr:row>190</xdr:row>
      <xdr:rowOff>6350</xdr:rowOff>
    </xdr:to>
    <xdr:graphicFrame macro="">
      <xdr:nvGraphicFramePr>
        <xdr:cNvPr id="12" name="Grafico 11">
          <a:extLst>
            <a:ext uri="{FF2B5EF4-FFF2-40B4-BE49-F238E27FC236}">
              <a16:creationId xmlns:a16="http://schemas.microsoft.com/office/drawing/2014/main" id="{C96A35AF-D322-4476-9679-4B2DE0A2E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76200</xdr:colOff>
      <xdr:row>154</xdr:row>
      <xdr:rowOff>38100</xdr:rowOff>
    </xdr:from>
    <xdr:ext cx="2305050" cy="626900"/>
    <xdr:pic>
      <xdr:nvPicPr>
        <xdr:cNvPr id="13" name="Immagine 12">
          <a:extLst>
            <a:ext uri="{FF2B5EF4-FFF2-40B4-BE49-F238E27FC236}">
              <a16:creationId xmlns:a16="http://schemas.microsoft.com/office/drawing/2014/main" id="{5748AA5D-B465-4629-8872-CC2152D76295}"/>
            </a:ext>
          </a:extLst>
        </xdr:cNvPr>
        <xdr:cNvPicPr>
          <a:picLocks noChangeAspect="1"/>
        </xdr:cNvPicPr>
      </xdr:nvPicPr>
      <xdr:blipFill>
        <a:blip xmlns:r="http://schemas.openxmlformats.org/officeDocument/2006/relationships" r:embed="rId2"/>
        <a:stretch>
          <a:fillRect/>
        </a:stretch>
      </xdr:blipFill>
      <xdr:spPr>
        <a:xfrm>
          <a:off x="76200" y="25546050"/>
          <a:ext cx="2305050" cy="62690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47625</xdr:colOff>
      <xdr:row>6</xdr:row>
      <xdr:rowOff>0</xdr:rowOff>
    </xdr:from>
    <xdr:to>
      <xdr:col>1</xdr:col>
      <xdr:colOff>3714750</xdr:colOff>
      <xdr:row>18</xdr:row>
      <xdr:rowOff>133350</xdr:rowOff>
    </xdr:to>
    <xdr:graphicFrame macro="">
      <xdr:nvGraphicFramePr>
        <xdr:cNvPr id="2" name="Grafico 1">
          <a:extLst>
            <a:ext uri="{FF2B5EF4-FFF2-40B4-BE49-F238E27FC236}">
              <a16:creationId xmlns:a16="http://schemas.microsoft.com/office/drawing/2014/main" id="{DA0816BC-7219-4252-A436-47925FC89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20</xdr:row>
      <xdr:rowOff>28575</xdr:rowOff>
    </xdr:from>
    <xdr:to>
      <xdr:col>2</xdr:col>
      <xdr:colOff>0</xdr:colOff>
      <xdr:row>33</xdr:row>
      <xdr:rowOff>66675</xdr:rowOff>
    </xdr:to>
    <xdr:graphicFrame macro="">
      <xdr:nvGraphicFramePr>
        <xdr:cNvPr id="3" name="Grafico 2">
          <a:extLst>
            <a:ext uri="{FF2B5EF4-FFF2-40B4-BE49-F238E27FC236}">
              <a16:creationId xmlns:a16="http://schemas.microsoft.com/office/drawing/2014/main" id="{768800A0-1671-42BD-8663-23939114D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34</xdr:row>
      <xdr:rowOff>200025</xdr:rowOff>
    </xdr:from>
    <xdr:to>
      <xdr:col>2</xdr:col>
      <xdr:colOff>0</xdr:colOff>
      <xdr:row>49</xdr:row>
      <xdr:rowOff>152400</xdr:rowOff>
    </xdr:to>
    <xdr:graphicFrame macro="">
      <xdr:nvGraphicFramePr>
        <xdr:cNvPr id="4" name="Grafico 3">
          <a:extLst>
            <a:ext uri="{FF2B5EF4-FFF2-40B4-BE49-F238E27FC236}">
              <a16:creationId xmlns:a16="http://schemas.microsoft.com/office/drawing/2014/main" id="{4D7B2492-A557-4E78-A9AA-CD4DB3242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9525</xdr:colOff>
      <xdr:row>23</xdr:row>
      <xdr:rowOff>9525</xdr:rowOff>
    </xdr:from>
    <xdr:to>
      <xdr:col>10</xdr:col>
      <xdr:colOff>628650</xdr:colOff>
      <xdr:row>33</xdr:row>
      <xdr:rowOff>9525</xdr:rowOff>
    </xdr:to>
    <xdr:graphicFrame macro="">
      <xdr:nvGraphicFramePr>
        <xdr:cNvPr id="6451" name="Grafico 1">
          <a:extLst>
            <a:ext uri="{FF2B5EF4-FFF2-40B4-BE49-F238E27FC236}">
              <a16:creationId xmlns:a16="http://schemas.microsoft.com/office/drawing/2014/main" id="{2D8A1C0D-5E17-2741-9A6B-04E5541DB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12</xdr:row>
      <xdr:rowOff>133350</xdr:rowOff>
    </xdr:from>
    <xdr:to>
      <xdr:col>11</xdr:col>
      <xdr:colOff>9525</xdr:colOff>
      <xdr:row>22</xdr:row>
      <xdr:rowOff>0</xdr:rowOff>
    </xdr:to>
    <xdr:graphicFrame macro="">
      <xdr:nvGraphicFramePr>
        <xdr:cNvPr id="6452" name="Grafico 2">
          <a:extLst>
            <a:ext uri="{FF2B5EF4-FFF2-40B4-BE49-F238E27FC236}">
              <a16:creationId xmlns:a16="http://schemas.microsoft.com/office/drawing/2014/main" id="{C887E23F-A98C-2A10-A956-7C19F4887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15875</xdr:colOff>
      <xdr:row>31</xdr:row>
      <xdr:rowOff>285747</xdr:rowOff>
    </xdr:from>
    <xdr:to>
      <xdr:col>9</xdr:col>
      <xdr:colOff>581024</xdr:colOff>
      <xdr:row>54</xdr:row>
      <xdr:rowOff>114300</xdr:rowOff>
    </xdr:to>
    <xdr:graphicFrame macro="">
      <xdr:nvGraphicFramePr>
        <xdr:cNvPr id="2" name="Grafico 1">
          <a:extLst>
            <a:ext uri="{FF2B5EF4-FFF2-40B4-BE49-F238E27FC236}">
              <a16:creationId xmlns:a16="http://schemas.microsoft.com/office/drawing/2014/main" id="{BF0A1CBF-52E1-4B4C-B204-C49CA8144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xdr:colOff>
      <xdr:row>6</xdr:row>
      <xdr:rowOff>12699</xdr:rowOff>
    </xdr:from>
    <xdr:to>
      <xdr:col>9</xdr:col>
      <xdr:colOff>581024</xdr:colOff>
      <xdr:row>28</xdr:row>
      <xdr:rowOff>133349</xdr:rowOff>
    </xdr:to>
    <xdr:graphicFrame macro="">
      <xdr:nvGraphicFramePr>
        <xdr:cNvPr id="4" name="Grafico 3">
          <a:extLst>
            <a:ext uri="{FF2B5EF4-FFF2-40B4-BE49-F238E27FC236}">
              <a16:creationId xmlns:a16="http://schemas.microsoft.com/office/drawing/2014/main" id="{899E8661-E8AD-4548-AB84-2E0CED3EB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47625</xdr:rowOff>
    </xdr:from>
    <xdr:to>
      <xdr:col>2</xdr:col>
      <xdr:colOff>1</xdr:colOff>
      <xdr:row>3</xdr:row>
      <xdr:rowOff>9525</xdr:rowOff>
    </xdr:to>
    <xdr:pic>
      <xdr:nvPicPr>
        <xdr:cNvPr id="5" name="Grafik 1">
          <a:extLst>
            <a:ext uri="{FF2B5EF4-FFF2-40B4-BE49-F238E27FC236}">
              <a16:creationId xmlns:a16="http://schemas.microsoft.com/office/drawing/2014/main" id="{B0D7501A-BBA7-40E4-82F3-071AE7CFF77F}"/>
            </a:ext>
          </a:extLst>
        </xdr:cNvPr>
        <xdr:cNvPicPr>
          <a:picLocks noChangeAspect="1"/>
        </xdr:cNvPicPr>
      </xdr:nvPicPr>
      <xdr:blipFill rotWithShape="1">
        <a:blip xmlns:r="http://schemas.openxmlformats.org/officeDocument/2006/relationships" r:embed="rId3"/>
        <a:srcRect l="-4245" t="31344" r="-3603" b="29593"/>
        <a:stretch/>
      </xdr:blipFill>
      <xdr:spPr>
        <a:xfrm>
          <a:off x="1" y="47625"/>
          <a:ext cx="1219200" cy="444500"/>
        </a:xfrm>
        <a:prstGeom prst="rect">
          <a:avLst/>
        </a:prstGeom>
      </xdr:spPr>
    </xdr:pic>
    <xdr:clientData/>
  </xdr:twoCellAnchor>
  <xdr:twoCellAnchor>
    <xdr:from>
      <xdr:col>0</xdr:col>
      <xdr:colOff>15875</xdr:colOff>
      <xdr:row>89</xdr:row>
      <xdr:rowOff>9525</xdr:rowOff>
    </xdr:from>
    <xdr:to>
      <xdr:col>9</xdr:col>
      <xdr:colOff>581024</xdr:colOff>
      <xdr:row>111</xdr:row>
      <xdr:rowOff>114300</xdr:rowOff>
    </xdr:to>
    <xdr:graphicFrame macro="">
      <xdr:nvGraphicFramePr>
        <xdr:cNvPr id="15" name="Grafico 14">
          <a:extLst>
            <a:ext uri="{FF2B5EF4-FFF2-40B4-BE49-F238E27FC236}">
              <a16:creationId xmlns:a16="http://schemas.microsoft.com/office/drawing/2014/main" id="{B7E9D45B-67B7-4985-9DF5-0B90FFB45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15875</xdr:colOff>
      <xdr:row>63</xdr:row>
      <xdr:rowOff>9524</xdr:rowOff>
    </xdr:from>
    <xdr:to>
      <xdr:col>9</xdr:col>
      <xdr:colOff>584199</xdr:colOff>
      <xdr:row>85</xdr:row>
      <xdr:rowOff>133349</xdr:rowOff>
    </xdr:to>
    <xdr:graphicFrame macro="">
      <xdr:nvGraphicFramePr>
        <xdr:cNvPr id="16" name="Grafico 15">
          <a:extLst>
            <a:ext uri="{FF2B5EF4-FFF2-40B4-BE49-F238E27FC236}">
              <a16:creationId xmlns:a16="http://schemas.microsoft.com/office/drawing/2014/main" id="{88651683-E13F-4972-B4C6-119AC9C24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1</xdr:colOff>
      <xdr:row>57</xdr:row>
      <xdr:rowOff>44450</xdr:rowOff>
    </xdr:from>
    <xdr:ext cx="1219200" cy="450850"/>
    <xdr:pic>
      <xdr:nvPicPr>
        <xdr:cNvPr id="17" name="Grafik 1">
          <a:extLst>
            <a:ext uri="{FF2B5EF4-FFF2-40B4-BE49-F238E27FC236}">
              <a16:creationId xmlns:a16="http://schemas.microsoft.com/office/drawing/2014/main" id="{C5F881AB-965A-4F26-B3AC-3A00C1FCBAC1}"/>
            </a:ext>
          </a:extLst>
        </xdr:cNvPr>
        <xdr:cNvPicPr>
          <a:picLocks noChangeAspect="1"/>
        </xdr:cNvPicPr>
      </xdr:nvPicPr>
      <xdr:blipFill rotWithShape="1">
        <a:blip xmlns:r="http://schemas.openxmlformats.org/officeDocument/2006/relationships" r:embed="rId3"/>
        <a:srcRect l="-4245" t="31344" r="-3603" b="29593"/>
        <a:stretch/>
      </xdr:blipFill>
      <xdr:spPr>
        <a:xfrm>
          <a:off x="1" y="47625"/>
          <a:ext cx="1219200" cy="450850"/>
        </a:xfrm>
        <a:prstGeom prst="rect">
          <a:avLst/>
        </a:prstGeom>
      </xdr:spPr>
    </xdr:pic>
    <xdr:clientData/>
  </xdr:oneCellAnchor>
  <xdr:twoCellAnchor>
    <xdr:from>
      <xdr:col>0</xdr:col>
      <xdr:colOff>15875</xdr:colOff>
      <xdr:row>63</xdr:row>
      <xdr:rowOff>12699</xdr:rowOff>
    </xdr:from>
    <xdr:to>
      <xdr:col>9</xdr:col>
      <xdr:colOff>581024</xdr:colOff>
      <xdr:row>85</xdr:row>
      <xdr:rowOff>133349</xdr:rowOff>
    </xdr:to>
    <xdr:graphicFrame macro="">
      <xdr:nvGraphicFramePr>
        <xdr:cNvPr id="18" name="Grafico 17">
          <a:extLst>
            <a:ext uri="{FF2B5EF4-FFF2-40B4-BE49-F238E27FC236}">
              <a16:creationId xmlns:a16="http://schemas.microsoft.com/office/drawing/2014/main" id="{DA0C8402-A27C-422D-8055-C7180B9C7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xdr:colOff>
      <xdr:row>57</xdr:row>
      <xdr:rowOff>47625</xdr:rowOff>
    </xdr:from>
    <xdr:to>
      <xdr:col>2</xdr:col>
      <xdr:colOff>1</xdr:colOff>
      <xdr:row>59</xdr:row>
      <xdr:rowOff>133350</xdr:rowOff>
    </xdr:to>
    <xdr:pic>
      <xdr:nvPicPr>
        <xdr:cNvPr id="19" name="Grafik 1">
          <a:extLst>
            <a:ext uri="{FF2B5EF4-FFF2-40B4-BE49-F238E27FC236}">
              <a16:creationId xmlns:a16="http://schemas.microsoft.com/office/drawing/2014/main" id="{440F09AE-1735-4363-BCBD-7E2E8986C99E}"/>
            </a:ext>
          </a:extLst>
        </xdr:cNvPr>
        <xdr:cNvPicPr>
          <a:picLocks noChangeAspect="1"/>
        </xdr:cNvPicPr>
      </xdr:nvPicPr>
      <xdr:blipFill rotWithShape="1">
        <a:blip xmlns:r="http://schemas.openxmlformats.org/officeDocument/2006/relationships" r:embed="rId3"/>
        <a:srcRect l="-4245" t="31344" r="-3603" b="29593"/>
        <a:stretch/>
      </xdr:blipFill>
      <xdr:spPr>
        <a:xfrm>
          <a:off x="1" y="44450"/>
          <a:ext cx="1219200" cy="412750"/>
        </a:xfrm>
        <a:prstGeom prst="rect">
          <a:avLst/>
        </a:prstGeom>
      </xdr:spPr>
    </xdr:pic>
    <xdr:clientData/>
  </xdr:twoCellAnchor>
  <xdr:twoCellAnchor>
    <xdr:from>
      <xdr:col>0</xdr:col>
      <xdr:colOff>15875</xdr:colOff>
      <xdr:row>146</xdr:row>
      <xdr:rowOff>9525</xdr:rowOff>
    </xdr:from>
    <xdr:to>
      <xdr:col>9</xdr:col>
      <xdr:colOff>581024</xdr:colOff>
      <xdr:row>168</xdr:row>
      <xdr:rowOff>114300</xdr:rowOff>
    </xdr:to>
    <xdr:graphicFrame macro="">
      <xdr:nvGraphicFramePr>
        <xdr:cNvPr id="20" name="Grafico 19">
          <a:extLst>
            <a:ext uri="{FF2B5EF4-FFF2-40B4-BE49-F238E27FC236}">
              <a16:creationId xmlns:a16="http://schemas.microsoft.com/office/drawing/2014/main" id="{28FC90D3-CA40-4AC7-9808-DADBE7361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15875</xdr:colOff>
      <xdr:row>120</xdr:row>
      <xdr:rowOff>9524</xdr:rowOff>
    </xdr:from>
    <xdr:to>
      <xdr:col>9</xdr:col>
      <xdr:colOff>584199</xdr:colOff>
      <xdr:row>142</xdr:row>
      <xdr:rowOff>133349</xdr:rowOff>
    </xdr:to>
    <xdr:graphicFrame macro="">
      <xdr:nvGraphicFramePr>
        <xdr:cNvPr id="21" name="Grafico 20">
          <a:extLst>
            <a:ext uri="{FF2B5EF4-FFF2-40B4-BE49-F238E27FC236}">
              <a16:creationId xmlns:a16="http://schemas.microsoft.com/office/drawing/2014/main" id="{E01AFF4F-0EA6-494F-9197-C144199CD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1</xdr:colOff>
      <xdr:row>114</xdr:row>
      <xdr:rowOff>44450</xdr:rowOff>
    </xdr:from>
    <xdr:ext cx="1219200" cy="450850"/>
    <xdr:pic>
      <xdr:nvPicPr>
        <xdr:cNvPr id="22" name="Grafik 1">
          <a:extLst>
            <a:ext uri="{FF2B5EF4-FFF2-40B4-BE49-F238E27FC236}">
              <a16:creationId xmlns:a16="http://schemas.microsoft.com/office/drawing/2014/main" id="{CB4E0979-3948-4B19-8BFA-CA874443B289}"/>
            </a:ext>
          </a:extLst>
        </xdr:cNvPr>
        <xdr:cNvPicPr>
          <a:picLocks noChangeAspect="1"/>
        </xdr:cNvPicPr>
      </xdr:nvPicPr>
      <xdr:blipFill rotWithShape="1">
        <a:blip xmlns:r="http://schemas.openxmlformats.org/officeDocument/2006/relationships" r:embed="rId3"/>
        <a:srcRect l="-4245" t="31344" r="-3603" b="29593"/>
        <a:stretch/>
      </xdr:blipFill>
      <xdr:spPr>
        <a:xfrm>
          <a:off x="1" y="47625"/>
          <a:ext cx="1219200" cy="450850"/>
        </a:xfrm>
        <a:prstGeom prst="rect">
          <a:avLst/>
        </a:prstGeom>
      </xdr:spPr>
    </xdr:pic>
    <xdr:clientData/>
  </xdr:oneCellAnchor>
  <xdr:twoCellAnchor>
    <xdr:from>
      <xdr:col>0</xdr:col>
      <xdr:colOff>15875</xdr:colOff>
      <xdr:row>120</xdr:row>
      <xdr:rowOff>12699</xdr:rowOff>
    </xdr:from>
    <xdr:to>
      <xdr:col>9</xdr:col>
      <xdr:colOff>581024</xdr:colOff>
      <xdr:row>142</xdr:row>
      <xdr:rowOff>133349</xdr:rowOff>
    </xdr:to>
    <xdr:graphicFrame macro="">
      <xdr:nvGraphicFramePr>
        <xdr:cNvPr id="23" name="Grafico 22">
          <a:extLst>
            <a:ext uri="{FF2B5EF4-FFF2-40B4-BE49-F238E27FC236}">
              <a16:creationId xmlns:a16="http://schemas.microsoft.com/office/drawing/2014/main" id="{7C17EA8C-1F67-4147-A663-719FF92D6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xdr:colOff>
      <xdr:row>114</xdr:row>
      <xdr:rowOff>47625</xdr:rowOff>
    </xdr:from>
    <xdr:to>
      <xdr:col>2</xdr:col>
      <xdr:colOff>1</xdr:colOff>
      <xdr:row>116</xdr:row>
      <xdr:rowOff>133350</xdr:rowOff>
    </xdr:to>
    <xdr:pic>
      <xdr:nvPicPr>
        <xdr:cNvPr id="24" name="Grafik 1">
          <a:extLst>
            <a:ext uri="{FF2B5EF4-FFF2-40B4-BE49-F238E27FC236}">
              <a16:creationId xmlns:a16="http://schemas.microsoft.com/office/drawing/2014/main" id="{02CDEC1D-A62E-42C1-BABE-063A27DC090F}"/>
            </a:ext>
          </a:extLst>
        </xdr:cNvPr>
        <xdr:cNvPicPr>
          <a:picLocks noChangeAspect="1"/>
        </xdr:cNvPicPr>
      </xdr:nvPicPr>
      <xdr:blipFill rotWithShape="1">
        <a:blip xmlns:r="http://schemas.openxmlformats.org/officeDocument/2006/relationships" r:embed="rId3"/>
        <a:srcRect l="-4245" t="31344" r="-3603" b="29593"/>
        <a:stretch/>
      </xdr:blipFill>
      <xdr:spPr>
        <a:xfrm>
          <a:off x="1" y="44450"/>
          <a:ext cx="1219200" cy="412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15875</xdr:colOff>
      <xdr:row>31</xdr:row>
      <xdr:rowOff>285747</xdr:rowOff>
    </xdr:from>
    <xdr:to>
      <xdr:col>9</xdr:col>
      <xdr:colOff>581024</xdr:colOff>
      <xdr:row>54</xdr:row>
      <xdr:rowOff>114300</xdr:rowOff>
    </xdr:to>
    <xdr:graphicFrame macro="">
      <xdr:nvGraphicFramePr>
        <xdr:cNvPr id="2" name="Grafico 1">
          <a:extLst>
            <a:ext uri="{FF2B5EF4-FFF2-40B4-BE49-F238E27FC236}">
              <a16:creationId xmlns:a16="http://schemas.microsoft.com/office/drawing/2014/main" id="{C00A25EA-7C8F-4548-8CCD-C8BF88C17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xdr:colOff>
      <xdr:row>6</xdr:row>
      <xdr:rowOff>12699</xdr:rowOff>
    </xdr:from>
    <xdr:to>
      <xdr:col>9</xdr:col>
      <xdr:colOff>581024</xdr:colOff>
      <xdr:row>29</xdr:row>
      <xdr:rowOff>103909</xdr:rowOff>
    </xdr:to>
    <xdr:graphicFrame macro="">
      <xdr:nvGraphicFramePr>
        <xdr:cNvPr id="3" name="Grafico 2">
          <a:extLst>
            <a:ext uri="{FF2B5EF4-FFF2-40B4-BE49-F238E27FC236}">
              <a16:creationId xmlns:a16="http://schemas.microsoft.com/office/drawing/2014/main" id="{B0B5B556-6B63-44A4-86CB-6F179FCB9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47625</xdr:rowOff>
    </xdr:from>
    <xdr:to>
      <xdr:col>2</xdr:col>
      <xdr:colOff>1</xdr:colOff>
      <xdr:row>3</xdr:row>
      <xdr:rowOff>6350</xdr:rowOff>
    </xdr:to>
    <xdr:pic>
      <xdr:nvPicPr>
        <xdr:cNvPr id="4" name="Grafik 1">
          <a:extLst>
            <a:ext uri="{FF2B5EF4-FFF2-40B4-BE49-F238E27FC236}">
              <a16:creationId xmlns:a16="http://schemas.microsoft.com/office/drawing/2014/main" id="{20A0F689-2DD8-496C-ABD0-ACA59FBBDC07}"/>
            </a:ext>
          </a:extLst>
        </xdr:cNvPr>
        <xdr:cNvPicPr>
          <a:picLocks noChangeAspect="1"/>
        </xdr:cNvPicPr>
      </xdr:nvPicPr>
      <xdr:blipFill rotWithShape="1">
        <a:blip xmlns:r="http://schemas.openxmlformats.org/officeDocument/2006/relationships" r:embed="rId3"/>
        <a:srcRect l="-4245" t="31344" r="-3603" b="29593"/>
        <a:stretch/>
      </xdr:blipFill>
      <xdr:spPr>
        <a:xfrm>
          <a:off x="1" y="44450"/>
          <a:ext cx="1219200" cy="447675"/>
        </a:xfrm>
        <a:prstGeom prst="rect">
          <a:avLst/>
        </a:prstGeom>
      </xdr:spPr>
    </xdr:pic>
    <xdr:clientData/>
  </xdr:twoCellAnchor>
  <xdr:twoCellAnchor>
    <xdr:from>
      <xdr:col>0</xdr:col>
      <xdr:colOff>15875</xdr:colOff>
      <xdr:row>89</xdr:row>
      <xdr:rowOff>9525</xdr:rowOff>
    </xdr:from>
    <xdr:to>
      <xdr:col>9</xdr:col>
      <xdr:colOff>581024</xdr:colOff>
      <xdr:row>111</xdr:row>
      <xdr:rowOff>114300</xdr:rowOff>
    </xdr:to>
    <xdr:graphicFrame macro="">
      <xdr:nvGraphicFramePr>
        <xdr:cNvPr id="5" name="Grafico 4">
          <a:extLst>
            <a:ext uri="{FF2B5EF4-FFF2-40B4-BE49-F238E27FC236}">
              <a16:creationId xmlns:a16="http://schemas.microsoft.com/office/drawing/2014/main" id="{9CD687DF-1D8A-44DD-B99F-CB736ADC9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15875</xdr:colOff>
      <xdr:row>63</xdr:row>
      <xdr:rowOff>9524</xdr:rowOff>
    </xdr:from>
    <xdr:to>
      <xdr:col>9</xdr:col>
      <xdr:colOff>584199</xdr:colOff>
      <xdr:row>85</xdr:row>
      <xdr:rowOff>133349</xdr:rowOff>
    </xdr:to>
    <xdr:graphicFrame macro="">
      <xdr:nvGraphicFramePr>
        <xdr:cNvPr id="6" name="Grafico 5">
          <a:extLst>
            <a:ext uri="{FF2B5EF4-FFF2-40B4-BE49-F238E27FC236}">
              <a16:creationId xmlns:a16="http://schemas.microsoft.com/office/drawing/2014/main" id="{494264B5-D762-4AD4-8681-C8DE3D3B0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1</xdr:colOff>
      <xdr:row>57</xdr:row>
      <xdr:rowOff>44450</xdr:rowOff>
    </xdr:from>
    <xdr:ext cx="1219200" cy="450850"/>
    <xdr:pic>
      <xdr:nvPicPr>
        <xdr:cNvPr id="7" name="Grafik 1">
          <a:extLst>
            <a:ext uri="{FF2B5EF4-FFF2-40B4-BE49-F238E27FC236}">
              <a16:creationId xmlns:a16="http://schemas.microsoft.com/office/drawing/2014/main" id="{78D0E6F6-6F34-482B-BF9B-0AE953C050EA}"/>
            </a:ext>
          </a:extLst>
        </xdr:cNvPr>
        <xdr:cNvPicPr>
          <a:picLocks noChangeAspect="1"/>
        </xdr:cNvPicPr>
      </xdr:nvPicPr>
      <xdr:blipFill rotWithShape="1">
        <a:blip xmlns:r="http://schemas.openxmlformats.org/officeDocument/2006/relationships" r:embed="rId3"/>
        <a:srcRect l="-4245" t="31344" r="-3603" b="29593"/>
        <a:stretch/>
      </xdr:blipFill>
      <xdr:spPr>
        <a:xfrm>
          <a:off x="1" y="9563100"/>
          <a:ext cx="1219200" cy="450850"/>
        </a:xfrm>
        <a:prstGeom prst="rect">
          <a:avLst/>
        </a:prstGeom>
      </xdr:spPr>
    </xdr:pic>
    <xdr:clientData/>
  </xdr:oneCellAnchor>
  <xdr:twoCellAnchor>
    <xdr:from>
      <xdr:col>0</xdr:col>
      <xdr:colOff>15875</xdr:colOff>
      <xdr:row>63</xdr:row>
      <xdr:rowOff>12699</xdr:rowOff>
    </xdr:from>
    <xdr:to>
      <xdr:col>9</xdr:col>
      <xdr:colOff>581024</xdr:colOff>
      <xdr:row>86</xdr:row>
      <xdr:rowOff>51954</xdr:rowOff>
    </xdr:to>
    <xdr:graphicFrame macro="">
      <xdr:nvGraphicFramePr>
        <xdr:cNvPr id="8" name="Grafico 7">
          <a:extLst>
            <a:ext uri="{FF2B5EF4-FFF2-40B4-BE49-F238E27FC236}">
              <a16:creationId xmlns:a16="http://schemas.microsoft.com/office/drawing/2014/main" id="{6298E056-C6E0-49CE-A1A1-B26B7AE31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xdr:colOff>
      <xdr:row>57</xdr:row>
      <xdr:rowOff>47625</xdr:rowOff>
    </xdr:from>
    <xdr:to>
      <xdr:col>2</xdr:col>
      <xdr:colOff>1</xdr:colOff>
      <xdr:row>60</xdr:row>
      <xdr:rowOff>9525</xdr:rowOff>
    </xdr:to>
    <xdr:pic>
      <xdr:nvPicPr>
        <xdr:cNvPr id="9" name="Grafik 1">
          <a:extLst>
            <a:ext uri="{FF2B5EF4-FFF2-40B4-BE49-F238E27FC236}">
              <a16:creationId xmlns:a16="http://schemas.microsoft.com/office/drawing/2014/main" id="{CBBC0C7E-EF51-4DF4-A1DC-945BBED0D4FB}"/>
            </a:ext>
          </a:extLst>
        </xdr:cNvPr>
        <xdr:cNvPicPr>
          <a:picLocks noChangeAspect="1"/>
        </xdr:cNvPicPr>
      </xdr:nvPicPr>
      <xdr:blipFill rotWithShape="1">
        <a:blip xmlns:r="http://schemas.openxmlformats.org/officeDocument/2006/relationships" r:embed="rId3"/>
        <a:srcRect l="-4245" t="31344" r="-3603" b="29593"/>
        <a:stretch/>
      </xdr:blipFill>
      <xdr:spPr>
        <a:xfrm>
          <a:off x="1" y="9559925"/>
          <a:ext cx="1219200" cy="450850"/>
        </a:xfrm>
        <a:prstGeom prst="rect">
          <a:avLst/>
        </a:prstGeom>
      </xdr:spPr>
    </xdr:pic>
    <xdr:clientData/>
  </xdr:twoCellAnchor>
  <xdr:twoCellAnchor>
    <xdr:from>
      <xdr:col>0</xdr:col>
      <xdr:colOff>15875</xdr:colOff>
      <xdr:row>146</xdr:row>
      <xdr:rowOff>9525</xdr:rowOff>
    </xdr:from>
    <xdr:to>
      <xdr:col>9</xdr:col>
      <xdr:colOff>581024</xdr:colOff>
      <xdr:row>168</xdr:row>
      <xdr:rowOff>114300</xdr:rowOff>
    </xdr:to>
    <xdr:graphicFrame macro="">
      <xdr:nvGraphicFramePr>
        <xdr:cNvPr id="10" name="Grafico 9">
          <a:extLst>
            <a:ext uri="{FF2B5EF4-FFF2-40B4-BE49-F238E27FC236}">
              <a16:creationId xmlns:a16="http://schemas.microsoft.com/office/drawing/2014/main" id="{CF68F73D-4AF3-49F5-A083-99D8EFAC8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15875</xdr:colOff>
      <xdr:row>120</xdr:row>
      <xdr:rowOff>9524</xdr:rowOff>
    </xdr:from>
    <xdr:to>
      <xdr:col>9</xdr:col>
      <xdr:colOff>584199</xdr:colOff>
      <xdr:row>142</xdr:row>
      <xdr:rowOff>133349</xdr:rowOff>
    </xdr:to>
    <xdr:graphicFrame macro="">
      <xdr:nvGraphicFramePr>
        <xdr:cNvPr id="11" name="Grafico 10">
          <a:extLst>
            <a:ext uri="{FF2B5EF4-FFF2-40B4-BE49-F238E27FC236}">
              <a16:creationId xmlns:a16="http://schemas.microsoft.com/office/drawing/2014/main" id="{1C470987-0D08-4B3E-9AE2-0382583F7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1</xdr:colOff>
      <xdr:row>114</xdr:row>
      <xdr:rowOff>44450</xdr:rowOff>
    </xdr:from>
    <xdr:ext cx="1219200" cy="450850"/>
    <xdr:pic>
      <xdr:nvPicPr>
        <xdr:cNvPr id="12" name="Grafik 1">
          <a:extLst>
            <a:ext uri="{FF2B5EF4-FFF2-40B4-BE49-F238E27FC236}">
              <a16:creationId xmlns:a16="http://schemas.microsoft.com/office/drawing/2014/main" id="{AC309E91-9C79-4543-9AFE-4189F1AB040A}"/>
            </a:ext>
          </a:extLst>
        </xdr:cNvPr>
        <xdr:cNvPicPr>
          <a:picLocks noChangeAspect="1"/>
        </xdr:cNvPicPr>
      </xdr:nvPicPr>
      <xdr:blipFill rotWithShape="1">
        <a:blip xmlns:r="http://schemas.openxmlformats.org/officeDocument/2006/relationships" r:embed="rId3"/>
        <a:srcRect l="-4245" t="31344" r="-3603" b="29593"/>
        <a:stretch/>
      </xdr:blipFill>
      <xdr:spPr>
        <a:xfrm>
          <a:off x="1" y="19116675"/>
          <a:ext cx="1219200" cy="450850"/>
        </a:xfrm>
        <a:prstGeom prst="rect">
          <a:avLst/>
        </a:prstGeom>
      </xdr:spPr>
    </xdr:pic>
    <xdr:clientData/>
  </xdr:oneCellAnchor>
  <xdr:twoCellAnchor>
    <xdr:from>
      <xdr:col>0</xdr:col>
      <xdr:colOff>15875</xdr:colOff>
      <xdr:row>120</xdr:row>
      <xdr:rowOff>12698</xdr:rowOff>
    </xdr:from>
    <xdr:to>
      <xdr:col>9</xdr:col>
      <xdr:colOff>581024</xdr:colOff>
      <xdr:row>143</xdr:row>
      <xdr:rowOff>57726</xdr:rowOff>
    </xdr:to>
    <xdr:graphicFrame macro="">
      <xdr:nvGraphicFramePr>
        <xdr:cNvPr id="13" name="Grafico 12">
          <a:extLst>
            <a:ext uri="{FF2B5EF4-FFF2-40B4-BE49-F238E27FC236}">
              <a16:creationId xmlns:a16="http://schemas.microsoft.com/office/drawing/2014/main" id="{FA1D019B-7BBD-40C4-ACE1-8563EB26E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xdr:colOff>
      <xdr:row>114</xdr:row>
      <xdr:rowOff>47625</xdr:rowOff>
    </xdr:from>
    <xdr:to>
      <xdr:col>2</xdr:col>
      <xdr:colOff>1</xdr:colOff>
      <xdr:row>117</xdr:row>
      <xdr:rowOff>9525</xdr:rowOff>
    </xdr:to>
    <xdr:pic>
      <xdr:nvPicPr>
        <xdr:cNvPr id="14" name="Grafik 1">
          <a:extLst>
            <a:ext uri="{FF2B5EF4-FFF2-40B4-BE49-F238E27FC236}">
              <a16:creationId xmlns:a16="http://schemas.microsoft.com/office/drawing/2014/main" id="{A0400348-CF7B-415A-A877-D759E96CF18E}"/>
            </a:ext>
          </a:extLst>
        </xdr:cNvPr>
        <xdr:cNvPicPr>
          <a:picLocks noChangeAspect="1"/>
        </xdr:cNvPicPr>
      </xdr:nvPicPr>
      <xdr:blipFill rotWithShape="1">
        <a:blip xmlns:r="http://schemas.openxmlformats.org/officeDocument/2006/relationships" r:embed="rId3"/>
        <a:srcRect l="-4245" t="31344" r="-3603" b="29593"/>
        <a:stretch/>
      </xdr:blipFill>
      <xdr:spPr>
        <a:xfrm>
          <a:off x="1" y="19113500"/>
          <a:ext cx="1219200" cy="450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xdr:row>
      <xdr:rowOff>9525</xdr:rowOff>
    </xdr:from>
    <xdr:to>
      <xdr:col>14</xdr:col>
      <xdr:colOff>596900</xdr:colOff>
      <xdr:row>38</xdr:row>
      <xdr:rowOff>0</xdr:rowOff>
    </xdr:to>
    <xdr:graphicFrame macro="">
      <xdr:nvGraphicFramePr>
        <xdr:cNvPr id="2" name="Grafico 1">
          <a:extLst>
            <a:ext uri="{FF2B5EF4-FFF2-40B4-BE49-F238E27FC236}">
              <a16:creationId xmlns:a16="http://schemas.microsoft.com/office/drawing/2014/main" id="{89561239-ADA6-4B78-80F1-E6D474620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3</xdr:col>
      <xdr:colOff>590550</xdr:colOff>
      <xdr:row>3</xdr:row>
      <xdr:rowOff>131600</xdr:rowOff>
    </xdr:to>
    <xdr:pic>
      <xdr:nvPicPr>
        <xdr:cNvPr id="3" name="Immagine 2">
          <a:extLst>
            <a:ext uri="{FF2B5EF4-FFF2-40B4-BE49-F238E27FC236}">
              <a16:creationId xmlns:a16="http://schemas.microsoft.com/office/drawing/2014/main" id="{80F31CD5-08F7-448A-91AB-21B061EE1970}"/>
            </a:ext>
          </a:extLst>
        </xdr:cNvPr>
        <xdr:cNvPicPr>
          <a:picLocks noChangeAspect="1"/>
        </xdr:cNvPicPr>
      </xdr:nvPicPr>
      <xdr:blipFill>
        <a:blip xmlns:r="http://schemas.openxmlformats.org/officeDocument/2006/relationships" r:embed="rId2"/>
        <a:stretch>
          <a:fillRect/>
        </a:stretch>
      </xdr:blipFill>
      <xdr:spPr>
        <a:xfrm>
          <a:off x="0" y="38100"/>
          <a:ext cx="2419350" cy="57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15875</xdr:colOff>
      <xdr:row>32</xdr:row>
      <xdr:rowOff>9525</xdr:rowOff>
    </xdr:from>
    <xdr:to>
      <xdr:col>9</xdr:col>
      <xdr:colOff>581024</xdr:colOff>
      <xdr:row>54</xdr:row>
      <xdr:rowOff>114300</xdr:rowOff>
    </xdr:to>
    <xdr:graphicFrame macro="">
      <xdr:nvGraphicFramePr>
        <xdr:cNvPr id="2" name="Grafico 1">
          <a:extLst>
            <a:ext uri="{FF2B5EF4-FFF2-40B4-BE49-F238E27FC236}">
              <a16:creationId xmlns:a16="http://schemas.microsoft.com/office/drawing/2014/main" id="{02E5ABF8-A250-4181-BAC5-59835119A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xdr:colOff>
      <xdr:row>6</xdr:row>
      <xdr:rowOff>9524</xdr:rowOff>
    </xdr:from>
    <xdr:to>
      <xdr:col>9</xdr:col>
      <xdr:colOff>584199</xdr:colOff>
      <xdr:row>28</xdr:row>
      <xdr:rowOff>133349</xdr:rowOff>
    </xdr:to>
    <xdr:graphicFrame macro="">
      <xdr:nvGraphicFramePr>
        <xdr:cNvPr id="3" name="Grafico 2">
          <a:extLst>
            <a:ext uri="{FF2B5EF4-FFF2-40B4-BE49-F238E27FC236}">
              <a16:creationId xmlns:a16="http://schemas.microsoft.com/office/drawing/2014/main" id="{99BDA99D-BF82-4A5F-8962-6E69B14B7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xdr:colOff>
      <xdr:row>0</xdr:row>
      <xdr:rowOff>44450</xdr:rowOff>
    </xdr:from>
    <xdr:ext cx="1219200" cy="450850"/>
    <xdr:pic>
      <xdr:nvPicPr>
        <xdr:cNvPr id="4" name="Grafik 1">
          <a:extLst>
            <a:ext uri="{FF2B5EF4-FFF2-40B4-BE49-F238E27FC236}">
              <a16:creationId xmlns:a16="http://schemas.microsoft.com/office/drawing/2014/main" id="{B35D6227-DF00-4E6D-8063-82343B1F7CC1}"/>
            </a:ext>
          </a:extLst>
        </xdr:cNvPr>
        <xdr:cNvPicPr>
          <a:picLocks noChangeAspect="1"/>
        </xdr:cNvPicPr>
      </xdr:nvPicPr>
      <xdr:blipFill rotWithShape="1">
        <a:blip xmlns:r="http://schemas.openxmlformats.org/officeDocument/2006/relationships" r:embed="rId3"/>
        <a:srcRect l="-4245" t="31344" r="-3603" b="29593"/>
        <a:stretch/>
      </xdr:blipFill>
      <xdr:spPr>
        <a:xfrm>
          <a:off x="1" y="44450"/>
          <a:ext cx="1219200" cy="450850"/>
        </a:xfrm>
        <a:prstGeom prst="rect">
          <a:avLst/>
        </a:prstGeom>
      </xdr:spPr>
    </xdr:pic>
    <xdr:clientData/>
  </xdr:oneCellAnchor>
  <xdr:twoCellAnchor>
    <xdr:from>
      <xdr:col>0</xdr:col>
      <xdr:colOff>15875</xdr:colOff>
      <xdr:row>6</xdr:row>
      <xdr:rowOff>12699</xdr:rowOff>
    </xdr:from>
    <xdr:to>
      <xdr:col>9</xdr:col>
      <xdr:colOff>581024</xdr:colOff>
      <xdr:row>28</xdr:row>
      <xdr:rowOff>133349</xdr:rowOff>
    </xdr:to>
    <xdr:graphicFrame macro="">
      <xdr:nvGraphicFramePr>
        <xdr:cNvPr id="6" name="Grafico 5">
          <a:extLst>
            <a:ext uri="{FF2B5EF4-FFF2-40B4-BE49-F238E27FC236}">
              <a16:creationId xmlns:a16="http://schemas.microsoft.com/office/drawing/2014/main" id="{B97BB275-216C-4C9D-9248-C3501354E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xdr:colOff>
      <xdr:row>0</xdr:row>
      <xdr:rowOff>47625</xdr:rowOff>
    </xdr:from>
    <xdr:to>
      <xdr:col>2</xdr:col>
      <xdr:colOff>1</xdr:colOff>
      <xdr:row>2</xdr:row>
      <xdr:rowOff>133350</xdr:rowOff>
    </xdr:to>
    <xdr:pic>
      <xdr:nvPicPr>
        <xdr:cNvPr id="7" name="Grafik 1">
          <a:extLst>
            <a:ext uri="{FF2B5EF4-FFF2-40B4-BE49-F238E27FC236}">
              <a16:creationId xmlns:a16="http://schemas.microsoft.com/office/drawing/2014/main" id="{68B34E37-6C81-430E-8269-C3E7652D702E}"/>
            </a:ext>
          </a:extLst>
        </xdr:cNvPr>
        <xdr:cNvPicPr>
          <a:picLocks noChangeAspect="1"/>
        </xdr:cNvPicPr>
      </xdr:nvPicPr>
      <xdr:blipFill rotWithShape="1">
        <a:blip xmlns:r="http://schemas.openxmlformats.org/officeDocument/2006/relationships" r:embed="rId3"/>
        <a:srcRect l="-4245" t="31344" r="-3603" b="29593"/>
        <a:stretch/>
      </xdr:blipFill>
      <xdr:spPr>
        <a:xfrm>
          <a:off x="1" y="44450"/>
          <a:ext cx="1219200" cy="450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25400</xdr:rowOff>
    </xdr:from>
    <xdr:to>
      <xdr:col>14</xdr:col>
      <xdr:colOff>600075</xdr:colOff>
      <xdr:row>37</xdr:row>
      <xdr:rowOff>19050</xdr:rowOff>
    </xdr:to>
    <xdr:graphicFrame macro="">
      <xdr:nvGraphicFramePr>
        <xdr:cNvPr id="2" name="Grafico 1">
          <a:extLst>
            <a:ext uri="{FF2B5EF4-FFF2-40B4-BE49-F238E27FC236}">
              <a16:creationId xmlns:a16="http://schemas.microsoft.com/office/drawing/2014/main" id="{7CC88F44-53BA-492D-B687-C284151D7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3</xdr:col>
      <xdr:colOff>590550</xdr:colOff>
      <xdr:row>3</xdr:row>
      <xdr:rowOff>131600</xdr:rowOff>
    </xdr:to>
    <xdr:pic>
      <xdr:nvPicPr>
        <xdr:cNvPr id="3" name="Immagine 2">
          <a:extLst>
            <a:ext uri="{FF2B5EF4-FFF2-40B4-BE49-F238E27FC236}">
              <a16:creationId xmlns:a16="http://schemas.microsoft.com/office/drawing/2014/main" id="{2451C7F5-9A9C-4C83-8B8D-BFFE01E6FEB1}"/>
            </a:ext>
          </a:extLst>
        </xdr:cNvPr>
        <xdr:cNvPicPr>
          <a:picLocks noChangeAspect="1"/>
        </xdr:cNvPicPr>
      </xdr:nvPicPr>
      <xdr:blipFill>
        <a:blip xmlns:r="http://schemas.openxmlformats.org/officeDocument/2006/relationships" r:embed="rId2"/>
        <a:stretch>
          <a:fillRect/>
        </a:stretch>
      </xdr:blipFill>
      <xdr:spPr>
        <a:xfrm>
          <a:off x="0" y="38100"/>
          <a:ext cx="2419350" cy="57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15875</xdr:colOff>
      <xdr:row>32</xdr:row>
      <xdr:rowOff>9525</xdr:rowOff>
    </xdr:from>
    <xdr:to>
      <xdr:col>9</xdr:col>
      <xdr:colOff>581024</xdr:colOff>
      <xdr:row>54</xdr:row>
      <xdr:rowOff>114300</xdr:rowOff>
    </xdr:to>
    <xdr:graphicFrame macro="">
      <xdr:nvGraphicFramePr>
        <xdr:cNvPr id="2" name="Grafico 1">
          <a:extLst>
            <a:ext uri="{FF2B5EF4-FFF2-40B4-BE49-F238E27FC236}">
              <a16:creationId xmlns:a16="http://schemas.microsoft.com/office/drawing/2014/main" id="{38B49B9E-615E-4C59-9797-D8257081F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xdr:colOff>
      <xdr:row>6</xdr:row>
      <xdr:rowOff>9524</xdr:rowOff>
    </xdr:from>
    <xdr:to>
      <xdr:col>9</xdr:col>
      <xdr:colOff>584199</xdr:colOff>
      <xdr:row>28</xdr:row>
      <xdr:rowOff>133349</xdr:rowOff>
    </xdr:to>
    <xdr:graphicFrame macro="">
      <xdr:nvGraphicFramePr>
        <xdr:cNvPr id="3" name="Grafico 2">
          <a:extLst>
            <a:ext uri="{FF2B5EF4-FFF2-40B4-BE49-F238E27FC236}">
              <a16:creationId xmlns:a16="http://schemas.microsoft.com/office/drawing/2014/main" id="{5C03C12A-B0E9-4B16-8E44-EEA0CF352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xdr:colOff>
      <xdr:row>0</xdr:row>
      <xdr:rowOff>44450</xdr:rowOff>
    </xdr:from>
    <xdr:ext cx="1219200" cy="450850"/>
    <xdr:pic>
      <xdr:nvPicPr>
        <xdr:cNvPr id="4" name="Grafik 1">
          <a:extLst>
            <a:ext uri="{FF2B5EF4-FFF2-40B4-BE49-F238E27FC236}">
              <a16:creationId xmlns:a16="http://schemas.microsoft.com/office/drawing/2014/main" id="{F88F233E-AA4A-4C31-A14E-285F927F1D7B}"/>
            </a:ext>
          </a:extLst>
        </xdr:cNvPr>
        <xdr:cNvPicPr>
          <a:picLocks noChangeAspect="1"/>
        </xdr:cNvPicPr>
      </xdr:nvPicPr>
      <xdr:blipFill rotWithShape="1">
        <a:blip xmlns:r="http://schemas.openxmlformats.org/officeDocument/2006/relationships" r:embed="rId3"/>
        <a:srcRect l="-4245" t="31344" r="-3603" b="29593"/>
        <a:stretch/>
      </xdr:blipFill>
      <xdr:spPr>
        <a:xfrm>
          <a:off x="1" y="47625"/>
          <a:ext cx="1219200" cy="450850"/>
        </a:xfrm>
        <a:prstGeom prst="rect">
          <a:avLst/>
        </a:prstGeom>
      </xdr:spPr>
    </xdr:pic>
    <xdr:clientData/>
  </xdr:oneCellAnchor>
  <xdr:twoCellAnchor>
    <xdr:from>
      <xdr:col>0</xdr:col>
      <xdr:colOff>15875</xdr:colOff>
      <xdr:row>6</xdr:row>
      <xdr:rowOff>12699</xdr:rowOff>
    </xdr:from>
    <xdr:to>
      <xdr:col>9</xdr:col>
      <xdr:colOff>581024</xdr:colOff>
      <xdr:row>28</xdr:row>
      <xdr:rowOff>133349</xdr:rowOff>
    </xdr:to>
    <xdr:graphicFrame macro="">
      <xdr:nvGraphicFramePr>
        <xdr:cNvPr id="5" name="Grafico 4">
          <a:extLst>
            <a:ext uri="{FF2B5EF4-FFF2-40B4-BE49-F238E27FC236}">
              <a16:creationId xmlns:a16="http://schemas.microsoft.com/office/drawing/2014/main" id="{30B27C49-E6AA-4E1F-9541-06C02AB17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xdr:colOff>
      <xdr:row>0</xdr:row>
      <xdr:rowOff>47625</xdr:rowOff>
    </xdr:from>
    <xdr:to>
      <xdr:col>2</xdr:col>
      <xdr:colOff>1</xdr:colOff>
      <xdr:row>2</xdr:row>
      <xdr:rowOff>133350</xdr:rowOff>
    </xdr:to>
    <xdr:pic>
      <xdr:nvPicPr>
        <xdr:cNvPr id="6" name="Grafik 1">
          <a:extLst>
            <a:ext uri="{FF2B5EF4-FFF2-40B4-BE49-F238E27FC236}">
              <a16:creationId xmlns:a16="http://schemas.microsoft.com/office/drawing/2014/main" id="{7BFA0E70-63A6-4766-A621-772F9D126ECB}"/>
            </a:ext>
          </a:extLst>
        </xdr:cNvPr>
        <xdr:cNvPicPr>
          <a:picLocks noChangeAspect="1"/>
        </xdr:cNvPicPr>
      </xdr:nvPicPr>
      <xdr:blipFill rotWithShape="1">
        <a:blip xmlns:r="http://schemas.openxmlformats.org/officeDocument/2006/relationships" r:embed="rId3"/>
        <a:srcRect l="-4245" t="31344" r="-3603" b="29593"/>
        <a:stretch/>
      </xdr:blipFill>
      <xdr:spPr>
        <a:xfrm>
          <a:off x="1" y="44450"/>
          <a:ext cx="1219200" cy="412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gino/Desktop/Nuova%20analisi,%20progetto/SVILUPPO%20FINANZIABILIT&#192;%202023.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olo sostenibilità"/>
      <sheetName val="Foglio1"/>
      <sheetName val="Sviluppo reddito"/>
      <sheetName val="Sviluppo oneri"/>
      <sheetName val="Sviluppo risparmio"/>
    </sheetNames>
    <sheetDataSet>
      <sheetData sheetId="0"/>
      <sheetData sheetId="1">
        <row r="1">
          <cell r="B1">
            <v>45291</v>
          </cell>
        </row>
        <row r="2">
          <cell r="B2">
            <v>45098.680894907404</v>
          </cell>
        </row>
        <row r="6">
          <cell r="B6" t="str">
            <v>L'utilizzo di questo foglio di calcolo non è più autorizzato</v>
          </cell>
        </row>
      </sheetData>
      <sheetData sheetId="2"/>
      <sheetData sheetId="3"/>
      <sheetData sheetId="4"/>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9DD9C-3CDD-4705-822A-D6B8983577E0}">
  <sheetPr codeName="Foglio1"/>
  <dimension ref="A1:E78"/>
  <sheetViews>
    <sheetView zoomScale="120" zoomScaleNormal="120" workbookViewId="0">
      <selection activeCell="B13" sqref="B13"/>
    </sheetView>
  </sheetViews>
  <sheetFormatPr defaultColWidth="12.1796875" defaultRowHeight="15.5" x14ac:dyDescent="0.35"/>
  <cols>
    <col min="1" max="1" width="8.1796875" customWidth="1"/>
    <col min="2" max="2" width="30.1796875" style="1" customWidth="1"/>
    <col min="3" max="3" width="21.1796875" style="1" customWidth="1"/>
    <col min="4" max="4" width="8.81640625" style="1" customWidth="1"/>
    <col min="5" max="5" width="14" style="1" customWidth="1"/>
    <col min="6" max="16384" width="12.1796875" style="1"/>
  </cols>
  <sheetData>
    <row r="1" spans="1:5" x14ac:dyDescent="0.35">
      <c r="A1" s="903" t="s">
        <v>0</v>
      </c>
      <c r="B1" s="903"/>
      <c r="C1" s="904" t="e">
        <f>'PRIV-VALID.'!B59</f>
        <v>#REF!</v>
      </c>
      <c r="D1" s="904"/>
      <c r="E1" s="904"/>
    </row>
    <row r="2" spans="1:5" x14ac:dyDescent="0.35">
      <c r="A2" s="903" t="s">
        <v>1</v>
      </c>
      <c r="B2" s="903"/>
      <c r="C2" s="905" t="str">
        <f>'PRIV-VALID.'!B60</f>
        <v>Scala 44 AVS/AI/IPG - informazioni fornite dal cliente</v>
      </c>
      <c r="D2" s="905"/>
      <c r="E2" s="905"/>
    </row>
    <row r="3" spans="1:5" x14ac:dyDescent="0.35">
      <c r="A3" s="903" t="s">
        <v>2</v>
      </c>
      <c r="B3" s="903"/>
      <c r="C3" s="906">
        <f ca="1">'PRIV-VALID.'!B62</f>
        <v>45680.292758449075</v>
      </c>
      <c r="D3" s="906"/>
      <c r="E3" s="906"/>
    </row>
    <row r="4" spans="1:5" s="2" customFormat="1" ht="20.9" customHeight="1" x14ac:dyDescent="0.3"/>
    <row r="5" spans="1:5" s="3" customFormat="1" ht="37" customHeight="1" x14ac:dyDescent="0.45">
      <c r="A5" s="907" t="s">
        <v>3</v>
      </c>
      <c r="B5" s="907"/>
      <c r="C5" s="907"/>
      <c r="D5" s="907"/>
      <c r="E5" s="907"/>
    </row>
    <row r="6" spans="1:5" s="3" customFormat="1" ht="37" customHeight="1" x14ac:dyDescent="0.35">
      <c r="A6"/>
      <c r="B6" s="908" t="str">
        <f>Traduzioni!G342</f>
        <v>Capitali investiti con detrazioni fiscali</v>
      </c>
      <c r="C6" s="908"/>
      <c r="D6" s="908"/>
      <c r="E6" s="4">
        <f ca="1">'OPP3'!E15</f>
        <v>0</v>
      </c>
    </row>
    <row r="7" spans="1:5" ht="12.75" customHeight="1" x14ac:dyDescent="0.35">
      <c r="A7" s="909" t="str">
        <f>'OPP3'!A7</f>
        <v>CAPITALI ASSICURATI</v>
      </c>
      <c r="B7" s="908" t="str">
        <f>'OPP3'!B7</f>
        <v>Capitale alla pensione:</v>
      </c>
      <c r="C7" s="908"/>
      <c r="D7" s="908"/>
      <c r="E7" s="4">
        <f ca="1">'OPP3'!E7</f>
        <v>0</v>
      </c>
    </row>
    <row r="8" spans="1:5" ht="12.75" customHeight="1" x14ac:dyDescent="0.35">
      <c r="A8" s="909"/>
      <c r="B8" s="908" t="str">
        <f>'OPP3'!B9</f>
        <v>Garanzia del pagamento dei premi in caso di incapacità lavorativa:</v>
      </c>
      <c r="C8" s="908"/>
      <c r="D8" s="908"/>
      <c r="E8" s="4">
        <f ca="1">'OPP3'!E9</f>
        <v>0</v>
      </c>
    </row>
    <row r="9" spans="1:5" ht="12.75" customHeight="1" x14ac:dyDescent="0.35">
      <c r="A9" s="909"/>
      <c r="B9" s="908" t="str">
        <f>'OPP3'!B8</f>
        <v>Capitale assicurato in caso di decesso:</v>
      </c>
      <c r="C9" s="908"/>
      <c r="D9" s="908"/>
      <c r="E9" s="4">
        <f ca="1">'OPP3'!E8</f>
        <v>0</v>
      </c>
    </row>
    <row r="10" spans="1:5" ht="12.75" customHeight="1" x14ac:dyDescent="0.35">
      <c r="A10" s="909"/>
      <c r="B10" s="908" t="str">
        <f>'OPP3'!B10</f>
        <v/>
      </c>
      <c r="C10" s="908"/>
      <c r="D10" s="908"/>
      <c r="E10" s="4">
        <f>'OPP3'!E10</f>
        <v>0</v>
      </c>
    </row>
    <row r="11" spans="1:5" x14ac:dyDescent="0.35">
      <c r="B11"/>
      <c r="C11"/>
      <c r="D11"/>
      <c r="E11"/>
    </row>
    <row r="12" spans="1:5" x14ac:dyDescent="0.35">
      <c r="B12"/>
      <c r="C12"/>
      <c r="D12"/>
      <c r="E12"/>
    </row>
    <row r="13" spans="1:5" x14ac:dyDescent="0.35">
      <c r="B13" s="5"/>
    </row>
    <row r="14" spans="1:5" x14ac:dyDescent="0.35">
      <c r="B14" s="5"/>
    </row>
    <row r="15" spans="1:5" x14ac:dyDescent="0.35">
      <c r="B15" s="5"/>
    </row>
    <row r="16" spans="1:5" ht="12.75" customHeight="1" x14ac:dyDescent="0.45">
      <c r="A16" s="907" t="s">
        <v>5</v>
      </c>
      <c r="B16" s="907"/>
      <c r="C16" s="907"/>
      <c r="D16" s="907"/>
      <c r="E16" s="907"/>
    </row>
    <row r="17" spans="1:5" ht="12.75" customHeight="1" x14ac:dyDescent="0.35">
      <c r="B17" s="908" t="str">
        <f>B6</f>
        <v>Capitali investiti con detrazioni fiscali</v>
      </c>
      <c r="C17" s="908"/>
      <c r="D17" s="908"/>
      <c r="E17" s="4">
        <f ca="1">'OPP3'!E65</f>
        <v>0</v>
      </c>
    </row>
    <row r="18" spans="1:5" ht="12.75" customHeight="1" x14ac:dyDescent="0.35">
      <c r="A18" s="909" t="str">
        <f>A7</f>
        <v>CAPITALI ASSICURATI</v>
      </c>
      <c r="B18" s="908" t="str">
        <f>'OPP3'!B57</f>
        <v>Capitale alla pensione:</v>
      </c>
      <c r="C18" s="908"/>
      <c r="D18" s="908"/>
      <c r="E18" s="4">
        <f ca="1">'OPP3'!E57</f>
        <v>0</v>
      </c>
    </row>
    <row r="19" spans="1:5" ht="12.75" customHeight="1" x14ac:dyDescent="0.35">
      <c r="A19" s="909"/>
      <c r="B19" s="908" t="str">
        <f>'OPP3'!B59</f>
        <v>Garanzia del pagamento dei premi in caso di incapacità lavorativa:</v>
      </c>
      <c r="C19" s="908"/>
      <c r="D19" s="908"/>
      <c r="E19" s="4">
        <f ca="1">'OPP3'!E59</f>
        <v>0</v>
      </c>
    </row>
    <row r="20" spans="1:5" ht="12.75" customHeight="1" x14ac:dyDescent="0.35">
      <c r="A20" s="909"/>
      <c r="B20" s="908" t="str">
        <f>'OPP3'!B58</f>
        <v>Capitale assicurato in caso di decesso:</v>
      </c>
      <c r="C20" s="908"/>
      <c r="D20" s="908"/>
      <c r="E20" s="4">
        <f ca="1">'OPP3'!E58</f>
        <v>0</v>
      </c>
    </row>
    <row r="21" spans="1:5" ht="12.75" customHeight="1" x14ac:dyDescent="0.35">
      <c r="A21" s="909"/>
      <c r="B21" s="908" t="str">
        <f>'OPP3'!B60</f>
        <v/>
      </c>
      <c r="C21" s="908"/>
      <c r="D21" s="908"/>
      <c r="E21" s="4">
        <f>'OPP3'!E60</f>
        <v>0</v>
      </c>
    </row>
    <row r="22" spans="1:5" x14ac:dyDescent="0.35">
      <c r="B22" s="5"/>
    </row>
    <row r="23" spans="1:5" x14ac:dyDescent="0.35">
      <c r="B23" s="5"/>
    </row>
    <row r="24" spans="1:5" x14ac:dyDescent="0.35">
      <c r="B24" s="5"/>
    </row>
    <row r="25" spans="1:5" s="2" customFormat="1" ht="13" x14ac:dyDescent="0.3"/>
    <row r="26" spans="1:5" s="2" customFormat="1" ht="13" x14ac:dyDescent="0.3"/>
    <row r="27" spans="1:5" s="2" customFormat="1" ht="13" x14ac:dyDescent="0.3"/>
    <row r="28" spans="1:5" s="2" customFormat="1" ht="13" x14ac:dyDescent="0.3"/>
    <row r="29" spans="1:5" s="2" customFormat="1" ht="13" x14ac:dyDescent="0.3"/>
    <row r="30" spans="1:5" s="2" customFormat="1" ht="13" x14ac:dyDescent="0.3"/>
    <row r="31" spans="1:5" s="2" customFormat="1" ht="13" x14ac:dyDescent="0.3"/>
    <row r="32" spans="1:5" s="2" customFormat="1" ht="13" x14ac:dyDescent="0.3"/>
    <row r="33" s="2" customFormat="1" ht="13" x14ac:dyDescent="0.3"/>
    <row r="34" s="2" customFormat="1" ht="13" x14ac:dyDescent="0.3"/>
    <row r="35" s="2" customFormat="1" ht="13" x14ac:dyDescent="0.3"/>
    <row r="36" s="2" customFormat="1" ht="13" x14ac:dyDescent="0.3"/>
    <row r="37" s="2" customFormat="1" ht="13" x14ac:dyDescent="0.3"/>
    <row r="38" s="2" customFormat="1" ht="13" x14ac:dyDescent="0.3"/>
    <row r="39" s="2" customFormat="1" ht="13" x14ac:dyDescent="0.3"/>
    <row r="40" s="2" customFormat="1" ht="13" x14ac:dyDescent="0.3"/>
    <row r="41" s="2" customFormat="1" ht="13" x14ac:dyDescent="0.3"/>
    <row r="42" s="2" customFormat="1" ht="13" x14ac:dyDescent="0.3"/>
    <row r="43" s="2" customFormat="1" ht="13" x14ac:dyDescent="0.3"/>
    <row r="44" s="2" customFormat="1" ht="13" x14ac:dyDescent="0.3"/>
    <row r="45" s="2" customFormat="1" ht="13" x14ac:dyDescent="0.3"/>
    <row r="46" s="2" customFormat="1" ht="13" x14ac:dyDescent="0.3"/>
    <row r="47" s="2" customFormat="1" ht="13" x14ac:dyDescent="0.3"/>
    <row r="48" s="2" customFormat="1" ht="13" x14ac:dyDescent="0.3"/>
    <row r="49" s="2" customFormat="1" ht="9" customHeight="1" x14ac:dyDescent="0.3"/>
    <row r="50" s="2" customFormat="1" ht="13" x14ac:dyDescent="0.3"/>
    <row r="51" s="2" customFormat="1" ht="13" x14ac:dyDescent="0.3"/>
    <row r="52" s="2" customFormat="1" ht="13" x14ac:dyDescent="0.3"/>
    <row r="53" s="2" customFormat="1" ht="13" x14ac:dyDescent="0.3"/>
    <row r="54" s="2" customFormat="1" ht="13" x14ac:dyDescent="0.3"/>
    <row r="55" s="2" customFormat="1" ht="13" x14ac:dyDescent="0.3"/>
    <row r="56" s="2" customFormat="1" ht="13" x14ac:dyDescent="0.3"/>
    <row r="57" s="2" customFormat="1" ht="13" x14ac:dyDescent="0.3"/>
    <row r="58" s="2" customFormat="1" ht="13" x14ac:dyDescent="0.3"/>
    <row r="59" s="2" customFormat="1" ht="13" x14ac:dyDescent="0.3"/>
    <row r="60" s="2" customFormat="1" ht="13" x14ac:dyDescent="0.3"/>
    <row r="61" s="2" customFormat="1" ht="13" x14ac:dyDescent="0.3"/>
    <row r="62" s="2" customFormat="1" ht="13" x14ac:dyDescent="0.3"/>
    <row r="63" s="2" customFormat="1" ht="13" x14ac:dyDescent="0.3"/>
    <row r="64" s="2" customFormat="1" ht="13" x14ac:dyDescent="0.3"/>
    <row r="65" s="2" customFormat="1" ht="13" x14ac:dyDescent="0.3"/>
    <row r="66" s="2" customFormat="1" ht="13" x14ac:dyDescent="0.3"/>
    <row r="67" s="2" customFormat="1" ht="13" x14ac:dyDescent="0.3"/>
    <row r="68" s="2" customFormat="1" ht="13" x14ac:dyDescent="0.3"/>
    <row r="69" s="2" customFormat="1" ht="13" x14ac:dyDescent="0.3"/>
    <row r="70" s="2" customFormat="1" ht="13" x14ac:dyDescent="0.3"/>
    <row r="71" s="2" customFormat="1" ht="13" x14ac:dyDescent="0.3"/>
    <row r="72" s="2" customFormat="1" ht="13" x14ac:dyDescent="0.3"/>
    <row r="73" s="2" customFormat="1" ht="13" x14ac:dyDescent="0.3"/>
    <row r="74" s="2" customFormat="1" ht="13" x14ac:dyDescent="0.3"/>
    <row r="75" s="2" customFormat="1" ht="13" x14ac:dyDescent="0.3"/>
    <row r="76" s="2" customFormat="1" ht="13" x14ac:dyDescent="0.3"/>
    <row r="77" s="2" customFormat="1" ht="13" x14ac:dyDescent="0.3"/>
    <row r="78" s="2" customFormat="1" ht="13" x14ac:dyDescent="0.3"/>
  </sheetData>
  <mergeCells count="20">
    <mergeCell ref="A16:E16"/>
    <mergeCell ref="B17:D17"/>
    <mergeCell ref="A18:A21"/>
    <mergeCell ref="B18:D18"/>
    <mergeCell ref="B19:D19"/>
    <mergeCell ref="B20:D20"/>
    <mergeCell ref="B21:D21"/>
    <mergeCell ref="A5:E5"/>
    <mergeCell ref="B6:D6"/>
    <mergeCell ref="A7:A10"/>
    <mergeCell ref="B7:D7"/>
    <mergeCell ref="B8:D8"/>
    <mergeCell ref="B9:D9"/>
    <mergeCell ref="B10:D10"/>
    <mergeCell ref="A1:B1"/>
    <mergeCell ref="C1:E1"/>
    <mergeCell ref="A2:B2"/>
    <mergeCell ref="C2:E2"/>
    <mergeCell ref="A3:B3"/>
    <mergeCell ref="C3:E3"/>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Roman,Normale"&amp;12&amp;A</oddHeader>
    <oddFooter>&amp;C&amp;"Times New Roman,Normale"&amp;12Pagina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42BE-EC8E-40BB-95EE-D2751C2C894B}">
  <dimension ref="A1:C65"/>
  <sheetViews>
    <sheetView topLeftCell="A30" workbookViewId="0">
      <selection activeCell="B52" sqref="B52:C52"/>
    </sheetView>
  </sheetViews>
  <sheetFormatPr defaultColWidth="9.7265625" defaultRowHeight="15.5" x14ac:dyDescent="0.35"/>
  <cols>
    <col min="1" max="1" width="32" style="1" customWidth="1"/>
    <col min="2" max="2" width="24.26953125" style="1" customWidth="1"/>
    <col min="3" max="3" width="19.26953125" style="1" customWidth="1"/>
    <col min="4" max="16384" width="9.7265625" style="1"/>
  </cols>
  <sheetData>
    <row r="1" spans="1:3" s="2" customFormat="1" ht="13" x14ac:dyDescent="0.3">
      <c r="A1" s="50" t="s">
        <v>201</v>
      </c>
      <c r="B1" s="910">
        <f>ANALYSIS!E112</f>
        <v>0</v>
      </c>
      <c r="C1" s="910"/>
    </row>
    <row r="2" spans="1:3" s="2" customFormat="1" ht="13" x14ac:dyDescent="0.3">
      <c r="A2" s="50" t="s">
        <v>33</v>
      </c>
      <c r="B2" s="910"/>
      <c r="C2" s="910"/>
    </row>
    <row r="3" spans="1:3" s="2" customFormat="1" ht="13" x14ac:dyDescent="0.3">
      <c r="A3" s="51" t="s">
        <v>32</v>
      </c>
      <c r="B3" s="910"/>
      <c r="C3" s="910"/>
    </row>
    <row r="4" spans="1:3" s="2" customFormat="1" ht="13" x14ac:dyDescent="0.3">
      <c r="A4" s="50" t="s">
        <v>2</v>
      </c>
      <c r="B4" s="911"/>
      <c r="C4" s="911"/>
    </row>
    <row r="5" spans="1:3" s="2" customFormat="1" ht="13" x14ac:dyDescent="0.3">
      <c r="A5" s="52"/>
    </row>
    <row r="6" spans="1:3" s="2" customFormat="1" ht="13" x14ac:dyDescent="0.3"/>
    <row r="7" spans="1:3" s="2" customFormat="1" ht="13" x14ac:dyDescent="0.3">
      <c r="A7" s="59" t="s">
        <v>202</v>
      </c>
      <c r="B7" s="59" t="str">
        <f>Traduzioni!$G$227</f>
        <v>Copertura</v>
      </c>
      <c r="C7" s="59" t="str">
        <f>Traduzioni!$G$228</f>
        <v>Rischio Spese</v>
      </c>
    </row>
    <row r="8" spans="1:3" s="2" customFormat="1" ht="13" x14ac:dyDescent="0.3">
      <c r="A8" s="99" t="s">
        <v>209</v>
      </c>
      <c r="B8" s="97">
        <v>1</v>
      </c>
      <c r="C8" s="97">
        <f t="shared" ref="C8:C20" si="0">1-B8</f>
        <v>0</v>
      </c>
    </row>
    <row r="9" spans="1:3" s="2" customFormat="1" ht="13" x14ac:dyDescent="0.3">
      <c r="A9" s="59" t="str">
        <f>ANALYSIS!A122</f>
        <v xml:space="preserve">Libera scelta medici e ospedali </v>
      </c>
      <c r="B9" s="97">
        <f>ANALYSIS!E122</f>
        <v>0</v>
      </c>
      <c r="C9" s="97">
        <f t="shared" si="0"/>
        <v>1</v>
      </c>
    </row>
    <row r="10" spans="1:3" s="2" customFormat="1" ht="13" x14ac:dyDescent="0.3">
      <c r="A10" s="59" t="str">
        <f>ANALYSIS!A123</f>
        <v>Privata/semiprivata</v>
      </c>
      <c r="B10" s="97">
        <f>ANALYSIS!E123</f>
        <v>0</v>
      </c>
      <c r="C10" s="97">
        <f t="shared" si="0"/>
        <v>1</v>
      </c>
    </row>
    <row r="11" spans="1:3" s="2" customFormat="1" ht="13" x14ac:dyDescent="0.3">
      <c r="A11" s="59" t="str">
        <f>ANALYSIS!A124</f>
        <v xml:space="preserve">Dentistista </v>
      </c>
      <c r="B11" s="97">
        <f>ANALYSIS!E124</f>
        <v>0</v>
      </c>
      <c r="C11" s="97">
        <f t="shared" si="0"/>
        <v>1</v>
      </c>
    </row>
    <row r="12" spans="1:3" s="2" customFormat="1" ht="13" x14ac:dyDescent="0.3">
      <c r="A12" s="59" t="str">
        <f>ANALYSIS!A125</f>
        <v>Fitness</v>
      </c>
      <c r="B12" s="97">
        <f>ANALYSIS!E125</f>
        <v>0</v>
      </c>
      <c r="C12" s="97">
        <f t="shared" si="0"/>
        <v>1</v>
      </c>
    </row>
    <row r="13" spans="1:3" s="2" customFormat="1" ht="13" x14ac:dyDescent="0.3">
      <c r="A13" s="59" t="str">
        <f>ANALYSIS!A126</f>
        <v xml:space="preserve">Occhiali e Lenti a contatto </v>
      </c>
      <c r="B13" s="97">
        <f>ANALYSIS!E126</f>
        <v>0</v>
      </c>
      <c r="C13" s="97">
        <f t="shared" si="0"/>
        <v>1</v>
      </c>
    </row>
    <row r="14" spans="1:3" s="2" customFormat="1" ht="13" x14ac:dyDescent="0.3">
      <c r="A14" s="59" t="str">
        <f>ANALYSIS!A127</f>
        <v xml:space="preserve">Assistenza domiciliare </v>
      </c>
      <c r="B14" s="97">
        <f>ANALYSIS!E127</f>
        <v>0</v>
      </c>
      <c r="C14" s="97">
        <f t="shared" si="0"/>
        <v>1</v>
      </c>
    </row>
    <row r="15" spans="1:3" s="2" customFormat="1" ht="13" x14ac:dyDescent="0.3">
      <c r="A15" s="59" t="str">
        <f>ANALYSIS!A128</f>
        <v>Chec-kup</v>
      </c>
      <c r="B15" s="97">
        <f>ANALYSIS!E128</f>
        <v>0</v>
      </c>
      <c r="C15" s="97">
        <f t="shared" si="0"/>
        <v>1</v>
      </c>
    </row>
    <row r="16" spans="1:3" s="2" customFormat="1" ht="13" x14ac:dyDescent="0.3">
      <c r="A16" s="59" t="str">
        <f>ANALYSIS!A129</f>
        <v xml:space="preserve">Prevenzione ginecologica </v>
      </c>
      <c r="B16" s="97">
        <f>ANALYSIS!E129</f>
        <v>0</v>
      </c>
      <c r="C16" s="97">
        <f t="shared" si="0"/>
        <v>1</v>
      </c>
    </row>
    <row r="17" spans="1:3" s="2" customFormat="1" ht="13" x14ac:dyDescent="0.3">
      <c r="A17" s="59" t="str">
        <f>ANALYSIS!A130</f>
        <v xml:space="preserve">Trasporto e salvataggio </v>
      </c>
      <c r="B17" s="97">
        <f>ANALYSIS!E130</f>
        <v>0</v>
      </c>
      <c r="C17" s="97">
        <f t="shared" si="0"/>
        <v>1</v>
      </c>
    </row>
    <row r="18" spans="1:3" s="2" customFormat="1" ht="13" x14ac:dyDescent="0.3">
      <c r="A18" s="59" t="str">
        <f>ANALYSIS!A131</f>
        <v xml:space="preserve">Medicina alternativa </v>
      </c>
      <c r="B18" s="97">
        <f>ANALYSIS!E131</f>
        <v>0</v>
      </c>
      <c r="C18" s="97">
        <f t="shared" si="0"/>
        <v>1</v>
      </c>
    </row>
    <row r="19" spans="1:3" s="2" customFormat="1" ht="13" x14ac:dyDescent="0.3">
      <c r="A19" s="59" t="str">
        <f>ANALYSIS!A132</f>
        <v xml:space="preserve">Medicianli fuorilista </v>
      </c>
      <c r="B19" s="97">
        <f>ANALYSIS!E132</f>
        <v>0</v>
      </c>
      <c r="C19" s="97">
        <f t="shared" si="0"/>
        <v>1</v>
      </c>
    </row>
    <row r="20" spans="1:3" s="2" customFormat="1" ht="13" x14ac:dyDescent="0.3">
      <c r="A20" s="59" t="str">
        <f>ANALYSIS!A133</f>
        <v xml:space="preserve">Altro </v>
      </c>
      <c r="B20" s="97">
        <f>ANALYSIS!E133</f>
        <v>0</v>
      </c>
      <c r="C20" s="97">
        <f t="shared" si="0"/>
        <v>1</v>
      </c>
    </row>
    <row r="21" spans="1:3" s="2" customFormat="1" ht="13" x14ac:dyDescent="0.3">
      <c r="B21" s="98"/>
      <c r="C21" s="98"/>
    </row>
    <row r="22" spans="1:3" s="2" customFormat="1" ht="13" x14ac:dyDescent="0.3">
      <c r="A22" s="59" t="s">
        <v>205</v>
      </c>
      <c r="B22" s="97" t="str">
        <f>B7</f>
        <v>Copertura</v>
      </c>
      <c r="C22" s="97" t="str">
        <f>C7</f>
        <v>Rischio Spese</v>
      </c>
    </row>
    <row r="23" spans="1:3" s="2" customFormat="1" ht="13" x14ac:dyDescent="0.3">
      <c r="A23" s="59" t="str">
        <f>A8</f>
        <v>Base (LAMAL)</v>
      </c>
      <c r="B23" s="97">
        <v>1</v>
      </c>
      <c r="C23" s="97">
        <f t="shared" ref="C23:C33" si="1">1-B23</f>
        <v>0</v>
      </c>
    </row>
    <row r="24" spans="1:3" s="2" customFormat="1" ht="13" x14ac:dyDescent="0.3">
      <c r="A24" s="59" t="str">
        <f>A9</f>
        <v xml:space="preserve">Libera scelta medici e ospedali </v>
      </c>
      <c r="B24" s="97">
        <f>ANALYSIS!I122</f>
        <v>1</v>
      </c>
      <c r="C24" s="97">
        <f t="shared" si="1"/>
        <v>0</v>
      </c>
    </row>
    <row r="25" spans="1:3" s="2" customFormat="1" ht="13" x14ac:dyDescent="0.3">
      <c r="A25" s="59" t="str">
        <f>A10</f>
        <v>Privata/semiprivata</v>
      </c>
      <c r="B25" s="97">
        <f>ANALYSIS!I123</f>
        <v>1</v>
      </c>
      <c r="C25" s="97">
        <f t="shared" si="1"/>
        <v>0</v>
      </c>
    </row>
    <row r="26" spans="1:3" s="2" customFormat="1" ht="13" x14ac:dyDescent="0.3">
      <c r="A26" s="59" t="str">
        <f>A11</f>
        <v xml:space="preserve">Dentistista </v>
      </c>
      <c r="B26" s="97">
        <f>ANALYSIS!I124</f>
        <v>1</v>
      </c>
      <c r="C26" s="97">
        <f t="shared" si="1"/>
        <v>0</v>
      </c>
    </row>
    <row r="27" spans="1:3" s="2" customFormat="1" ht="13" x14ac:dyDescent="0.3">
      <c r="A27" s="59" t="str">
        <f>A12</f>
        <v>Fitness</v>
      </c>
      <c r="B27" s="97">
        <f>ANALYSIS!I125</f>
        <v>1</v>
      </c>
      <c r="C27" s="97">
        <f t="shared" si="1"/>
        <v>0</v>
      </c>
    </row>
    <row r="28" spans="1:3" s="2" customFormat="1" ht="13" x14ac:dyDescent="0.3">
      <c r="A28" s="59" t="str">
        <f t="shared" ref="A28:A35" si="2">A13</f>
        <v xml:space="preserve">Occhiali e Lenti a contatto </v>
      </c>
      <c r="B28" s="97">
        <f>ANALYSIS!I126</f>
        <v>1</v>
      </c>
      <c r="C28" s="97">
        <f t="shared" si="1"/>
        <v>0</v>
      </c>
    </row>
    <row r="29" spans="1:3" s="2" customFormat="1" ht="13" x14ac:dyDescent="0.3">
      <c r="A29" s="59" t="str">
        <f t="shared" si="2"/>
        <v xml:space="preserve">Assistenza domiciliare </v>
      </c>
      <c r="B29" s="97">
        <f>ANALYSIS!I127</f>
        <v>1</v>
      </c>
      <c r="C29" s="97">
        <f t="shared" si="1"/>
        <v>0</v>
      </c>
    </row>
    <row r="30" spans="1:3" s="2" customFormat="1" ht="13" x14ac:dyDescent="0.3">
      <c r="A30" s="59" t="str">
        <f t="shared" si="2"/>
        <v>Chec-kup</v>
      </c>
      <c r="B30" s="97">
        <f>ANALYSIS!I128</f>
        <v>1</v>
      </c>
      <c r="C30" s="97">
        <f t="shared" si="1"/>
        <v>0</v>
      </c>
    </row>
    <row r="31" spans="1:3" s="2" customFormat="1" ht="13" x14ac:dyDescent="0.3">
      <c r="A31" s="59" t="str">
        <f t="shared" si="2"/>
        <v xml:space="preserve">Prevenzione ginecologica </v>
      </c>
      <c r="B31" s="97">
        <f>ANALYSIS!I129</f>
        <v>1</v>
      </c>
      <c r="C31" s="97">
        <f t="shared" si="1"/>
        <v>0</v>
      </c>
    </row>
    <row r="32" spans="1:3" s="2" customFormat="1" ht="13" x14ac:dyDescent="0.3">
      <c r="A32" s="59" t="str">
        <f t="shared" si="2"/>
        <v xml:space="preserve">Trasporto e salvataggio </v>
      </c>
      <c r="B32" s="97">
        <f>ANALYSIS!I130</f>
        <v>1</v>
      </c>
      <c r="C32" s="97">
        <f t="shared" si="1"/>
        <v>0</v>
      </c>
    </row>
    <row r="33" spans="1:3" s="2" customFormat="1" ht="13" x14ac:dyDescent="0.3">
      <c r="A33" s="59" t="str">
        <f t="shared" si="2"/>
        <v xml:space="preserve">Medicina alternativa </v>
      </c>
      <c r="B33" s="97">
        <f>ANALYSIS!I131</f>
        <v>1</v>
      </c>
      <c r="C33" s="97">
        <f t="shared" si="1"/>
        <v>0</v>
      </c>
    </row>
    <row r="34" spans="1:3" s="2" customFormat="1" ht="13" x14ac:dyDescent="0.3">
      <c r="A34" s="59" t="str">
        <f t="shared" si="2"/>
        <v xml:space="preserve">Medicianli fuorilista </v>
      </c>
      <c r="B34" s="97">
        <f>ANALYSIS!I132</f>
        <v>1</v>
      </c>
      <c r="C34" s="97">
        <f>1-B34</f>
        <v>0</v>
      </c>
    </row>
    <row r="35" spans="1:3" s="2" customFormat="1" ht="13" x14ac:dyDescent="0.3">
      <c r="A35" s="59" t="str">
        <f t="shared" si="2"/>
        <v xml:space="preserve">Altro </v>
      </c>
      <c r="B35" s="97">
        <f>ANALYSIS!I133</f>
        <v>1</v>
      </c>
      <c r="C35" s="97">
        <f>1-B35</f>
        <v>0</v>
      </c>
    </row>
    <row r="36" spans="1:3" s="2" customFormat="1" ht="13" x14ac:dyDescent="0.3"/>
    <row r="37" spans="1:3" s="2" customFormat="1" ht="13" x14ac:dyDescent="0.3">
      <c r="A37" s="59" t="s">
        <v>202</v>
      </c>
      <c r="B37" s="59" t="str">
        <f>Traduzioni!$G$227</f>
        <v>Copertura</v>
      </c>
      <c r="C37" s="59" t="str">
        <f>Traduzioni!$G$228</f>
        <v>Rischio Spese</v>
      </c>
    </row>
    <row r="38" spans="1:3" s="2" customFormat="1" ht="13" x14ac:dyDescent="0.3">
      <c r="A38" s="59" t="str">
        <f>A20</f>
        <v xml:space="preserve">Altro </v>
      </c>
      <c r="B38" s="97">
        <f>B20</f>
        <v>0</v>
      </c>
      <c r="C38" s="97">
        <f>C20</f>
        <v>1</v>
      </c>
    </row>
    <row r="39" spans="1:3" s="2" customFormat="1" ht="13" x14ac:dyDescent="0.3">
      <c r="A39" s="59" t="str">
        <f>A19</f>
        <v xml:space="preserve">Medicianli fuorilista </v>
      </c>
      <c r="B39" s="97">
        <f>B19</f>
        <v>0</v>
      </c>
      <c r="C39" s="97">
        <f>C19</f>
        <v>1</v>
      </c>
    </row>
    <row r="40" spans="1:3" s="2" customFormat="1" ht="13" x14ac:dyDescent="0.3">
      <c r="A40" s="59" t="str">
        <f>A18</f>
        <v xml:space="preserve">Medicina alternativa </v>
      </c>
      <c r="B40" s="59">
        <f>B18</f>
        <v>0</v>
      </c>
      <c r="C40" s="59">
        <f>C18</f>
        <v>1</v>
      </c>
    </row>
    <row r="41" spans="1:3" s="2" customFormat="1" ht="13" x14ac:dyDescent="0.3">
      <c r="A41" s="59" t="str">
        <f>A17</f>
        <v xml:space="preserve">Trasporto e salvataggio </v>
      </c>
      <c r="B41" s="59">
        <f>B17</f>
        <v>0</v>
      </c>
      <c r="C41" s="59">
        <f>C17</f>
        <v>1</v>
      </c>
    </row>
    <row r="42" spans="1:3" s="2" customFormat="1" ht="13" x14ac:dyDescent="0.3">
      <c r="A42" s="59" t="str">
        <f>A16</f>
        <v xml:space="preserve">Prevenzione ginecologica </v>
      </c>
      <c r="B42" s="59">
        <f>B16</f>
        <v>0</v>
      </c>
      <c r="C42" s="59">
        <f>C16</f>
        <v>1</v>
      </c>
    </row>
    <row r="43" spans="1:3" s="2" customFormat="1" ht="13" x14ac:dyDescent="0.3">
      <c r="A43" s="59" t="str">
        <f>A15</f>
        <v>Chec-kup</v>
      </c>
      <c r="B43" s="97">
        <f>B15</f>
        <v>0</v>
      </c>
      <c r="C43" s="97">
        <f>C15</f>
        <v>1</v>
      </c>
    </row>
    <row r="44" spans="1:3" s="2" customFormat="1" ht="13" x14ac:dyDescent="0.3">
      <c r="A44" s="59" t="str">
        <f>A14</f>
        <v xml:space="preserve">Assistenza domiciliare </v>
      </c>
      <c r="B44" s="97">
        <f>B14</f>
        <v>0</v>
      </c>
      <c r="C44" s="97">
        <f>C14</f>
        <v>1</v>
      </c>
    </row>
    <row r="45" spans="1:3" s="2" customFormat="1" ht="13" x14ac:dyDescent="0.3">
      <c r="A45" s="59" t="str">
        <f>A13</f>
        <v xml:space="preserve">Occhiali e Lenti a contatto </v>
      </c>
      <c r="B45" s="97">
        <f>B13</f>
        <v>0</v>
      </c>
      <c r="C45" s="97">
        <f>C13</f>
        <v>1</v>
      </c>
    </row>
    <row r="46" spans="1:3" s="2" customFormat="1" ht="13" x14ac:dyDescent="0.3">
      <c r="A46" s="59" t="str">
        <f>A12</f>
        <v>Fitness</v>
      </c>
      <c r="B46" s="59">
        <f>B12</f>
        <v>0</v>
      </c>
      <c r="C46" s="59">
        <f>C12</f>
        <v>1</v>
      </c>
    </row>
    <row r="47" spans="1:3" s="2" customFormat="1" ht="13" x14ac:dyDescent="0.3">
      <c r="A47" s="59" t="str">
        <f>A11</f>
        <v xml:space="preserve">Dentistista </v>
      </c>
      <c r="B47" s="59">
        <f>B11</f>
        <v>0</v>
      </c>
      <c r="C47" s="59">
        <f>C11</f>
        <v>1</v>
      </c>
    </row>
    <row r="48" spans="1:3" x14ac:dyDescent="0.35">
      <c r="A48" s="59" t="str">
        <f>A10</f>
        <v>Privata/semiprivata</v>
      </c>
      <c r="B48" s="59">
        <f>B10</f>
        <v>0</v>
      </c>
      <c r="C48" s="59">
        <f>C10</f>
        <v>1</v>
      </c>
    </row>
    <row r="49" spans="1:3" x14ac:dyDescent="0.35">
      <c r="A49" s="59" t="str">
        <f>A9</f>
        <v xml:space="preserve">Libera scelta medici e ospedali </v>
      </c>
      <c r="B49" s="59">
        <f>B9</f>
        <v>0</v>
      </c>
      <c r="C49" s="59">
        <f>C9</f>
        <v>1</v>
      </c>
    </row>
    <row r="50" spans="1:3" x14ac:dyDescent="0.35">
      <c r="A50" s="59" t="str">
        <f>A8</f>
        <v>Base (LAMAL)</v>
      </c>
      <c r="B50" s="59">
        <f>B8</f>
        <v>1</v>
      </c>
      <c r="C50" s="59">
        <f>C8</f>
        <v>0</v>
      </c>
    </row>
    <row r="52" spans="1:3" x14ac:dyDescent="0.35">
      <c r="A52" s="59" t="str">
        <f>A22</f>
        <v>Situazione Proposta:</v>
      </c>
      <c r="B52" s="59" t="str">
        <f>Traduzioni!$G$227</f>
        <v>Copertura</v>
      </c>
      <c r="C52" s="59" t="str">
        <f>Traduzioni!$G$228</f>
        <v>Rischio Spese</v>
      </c>
    </row>
    <row r="53" spans="1:3" x14ac:dyDescent="0.35">
      <c r="A53" s="59" t="str">
        <f>A35</f>
        <v xml:space="preserve">Altro </v>
      </c>
      <c r="B53" s="97">
        <f>B35</f>
        <v>1</v>
      </c>
      <c r="C53" s="97">
        <f>C35</f>
        <v>0</v>
      </c>
    </row>
    <row r="54" spans="1:3" x14ac:dyDescent="0.35">
      <c r="A54" s="59" t="str">
        <f>A34</f>
        <v xml:space="preserve">Medicianli fuorilista </v>
      </c>
      <c r="B54" s="97">
        <f>B34</f>
        <v>1</v>
      </c>
      <c r="C54" s="97">
        <f>C34</f>
        <v>0</v>
      </c>
    </row>
    <row r="55" spans="1:3" x14ac:dyDescent="0.35">
      <c r="A55" s="59" t="str">
        <f>A33</f>
        <v xml:space="preserve">Medicina alternativa </v>
      </c>
      <c r="B55" s="97">
        <f>B33</f>
        <v>1</v>
      </c>
      <c r="C55" s="97">
        <f>C33</f>
        <v>0</v>
      </c>
    </row>
    <row r="56" spans="1:3" x14ac:dyDescent="0.35">
      <c r="A56" s="59" t="str">
        <f>A32</f>
        <v xml:space="preserve">Trasporto e salvataggio </v>
      </c>
      <c r="B56" s="97">
        <f>B32</f>
        <v>1</v>
      </c>
      <c r="C56" s="97">
        <f>C32</f>
        <v>0</v>
      </c>
    </row>
    <row r="57" spans="1:3" x14ac:dyDescent="0.35">
      <c r="A57" s="59" t="str">
        <f>A31</f>
        <v xml:space="preserve">Prevenzione ginecologica </v>
      </c>
      <c r="B57" s="97">
        <f>B31</f>
        <v>1</v>
      </c>
      <c r="C57" s="97">
        <f>C31</f>
        <v>0</v>
      </c>
    </row>
    <row r="58" spans="1:3" x14ac:dyDescent="0.35">
      <c r="A58" s="59" t="str">
        <f>A30</f>
        <v>Chec-kup</v>
      </c>
      <c r="B58" s="97">
        <f>B30</f>
        <v>1</v>
      </c>
      <c r="C58" s="97">
        <f>C30</f>
        <v>0</v>
      </c>
    </row>
    <row r="59" spans="1:3" x14ac:dyDescent="0.35">
      <c r="A59" s="59" t="str">
        <f>A29</f>
        <v xml:space="preserve">Assistenza domiciliare </v>
      </c>
      <c r="B59" s="97">
        <f>B29</f>
        <v>1</v>
      </c>
      <c r="C59" s="97">
        <f>C29</f>
        <v>0</v>
      </c>
    </row>
    <row r="60" spans="1:3" x14ac:dyDescent="0.35">
      <c r="A60" s="59" t="str">
        <f>A28</f>
        <v xml:space="preserve">Occhiali e Lenti a contatto </v>
      </c>
      <c r="B60" s="97">
        <f>B28</f>
        <v>1</v>
      </c>
      <c r="C60" s="97">
        <f>C28</f>
        <v>0</v>
      </c>
    </row>
    <row r="61" spans="1:3" x14ac:dyDescent="0.35">
      <c r="A61" s="59" t="str">
        <f>A27</f>
        <v>Fitness</v>
      </c>
      <c r="B61" s="97">
        <f>B27</f>
        <v>1</v>
      </c>
      <c r="C61" s="97">
        <f>C27</f>
        <v>0</v>
      </c>
    </row>
    <row r="62" spans="1:3" x14ac:dyDescent="0.35">
      <c r="A62" s="59" t="str">
        <f>A26</f>
        <v xml:space="preserve">Dentistista </v>
      </c>
      <c r="B62" s="97">
        <f>B26</f>
        <v>1</v>
      </c>
      <c r="C62" s="97">
        <f>C26</f>
        <v>0</v>
      </c>
    </row>
    <row r="63" spans="1:3" x14ac:dyDescent="0.35">
      <c r="A63" s="59" t="str">
        <f>A25</f>
        <v>Privata/semiprivata</v>
      </c>
      <c r="B63" s="97">
        <f>B25</f>
        <v>1</v>
      </c>
      <c r="C63" s="97">
        <f>C25</f>
        <v>0</v>
      </c>
    </row>
    <row r="64" spans="1:3" x14ac:dyDescent="0.35">
      <c r="A64" s="59" t="str">
        <f>A24</f>
        <v xml:space="preserve">Libera scelta medici e ospedali </v>
      </c>
      <c r="B64" s="97">
        <f>B24</f>
        <v>1</v>
      </c>
      <c r="C64" s="97">
        <f>C24</f>
        <v>0</v>
      </c>
    </row>
    <row r="65" spans="1:3" x14ac:dyDescent="0.35">
      <c r="A65" s="59" t="str">
        <f>A23</f>
        <v>Base (LAMAL)</v>
      </c>
      <c r="B65" s="97">
        <f>B23</f>
        <v>1</v>
      </c>
      <c r="C65" s="97">
        <f>C23</f>
        <v>0</v>
      </c>
    </row>
  </sheetData>
  <mergeCells count="4">
    <mergeCell ref="B1:C1"/>
    <mergeCell ref="B2:C2"/>
    <mergeCell ref="B3:C3"/>
    <mergeCell ref="B4: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5FEB-7272-45D2-A21F-1953D0485571}">
  <dimension ref="A1:C65"/>
  <sheetViews>
    <sheetView workbookViewId="0">
      <selection activeCell="B7" sqref="B7:C7"/>
    </sheetView>
  </sheetViews>
  <sheetFormatPr defaultColWidth="9.7265625" defaultRowHeight="15.5" x14ac:dyDescent="0.35"/>
  <cols>
    <col min="1" max="1" width="32" style="1" customWidth="1"/>
    <col min="2" max="2" width="24.26953125" style="1" customWidth="1"/>
    <col min="3" max="3" width="19.26953125" style="1" customWidth="1"/>
    <col min="4" max="16384" width="9.7265625" style="1"/>
  </cols>
  <sheetData>
    <row r="1" spans="1:3" s="2" customFormat="1" ht="13" x14ac:dyDescent="0.3">
      <c r="A1" s="50" t="s">
        <v>201</v>
      </c>
      <c r="B1" s="910">
        <f>ANALYSIS!D112</f>
        <v>0</v>
      </c>
      <c r="C1" s="910"/>
    </row>
    <row r="2" spans="1:3" s="2" customFormat="1" ht="13" x14ac:dyDescent="0.3">
      <c r="A2" s="50" t="s">
        <v>33</v>
      </c>
      <c r="B2" s="910"/>
      <c r="C2" s="910"/>
    </row>
    <row r="3" spans="1:3" s="2" customFormat="1" ht="13" x14ac:dyDescent="0.3">
      <c r="A3" s="51" t="s">
        <v>32</v>
      </c>
      <c r="B3" s="910"/>
      <c r="C3" s="910"/>
    </row>
    <row r="4" spans="1:3" s="2" customFormat="1" ht="13" x14ac:dyDescent="0.3">
      <c r="A4" s="50" t="s">
        <v>2</v>
      </c>
      <c r="B4" s="911"/>
      <c r="C4" s="911"/>
    </row>
    <row r="5" spans="1:3" s="2" customFormat="1" ht="13" x14ac:dyDescent="0.3">
      <c r="A5" s="52"/>
    </row>
    <row r="6" spans="1:3" s="2" customFormat="1" ht="13" x14ac:dyDescent="0.3"/>
    <row r="7" spans="1:3" s="2" customFormat="1" ht="13" x14ac:dyDescent="0.3">
      <c r="A7" s="59" t="str">
        <f>A37</f>
        <v xml:space="preserve">COPERTURE ATTUALI </v>
      </c>
      <c r="B7" s="59" t="str">
        <f>Traduzioni!$G$227</f>
        <v>Copertura</v>
      </c>
      <c r="C7" s="59" t="str">
        <f>Traduzioni!$G$228</f>
        <v>Rischio Spese</v>
      </c>
    </row>
    <row r="8" spans="1:3" s="2" customFormat="1" ht="13" x14ac:dyDescent="0.3">
      <c r="A8" s="99" t="s">
        <v>209</v>
      </c>
      <c r="B8" s="97">
        <v>1</v>
      </c>
      <c r="C8" s="97">
        <f t="shared" ref="C8:C20" si="0">1-B8</f>
        <v>0</v>
      </c>
    </row>
    <row r="9" spans="1:3" s="2" customFormat="1" ht="13" x14ac:dyDescent="0.3">
      <c r="A9" s="59" t="str">
        <f>ANALYSIS!A122</f>
        <v xml:space="preserve">Libera scelta medici e ospedali </v>
      </c>
      <c r="B9" s="97">
        <f>ANALYSIS!D122</f>
        <v>0</v>
      </c>
      <c r="C9" s="97">
        <f t="shared" si="0"/>
        <v>1</v>
      </c>
    </row>
    <row r="10" spans="1:3" s="2" customFormat="1" ht="13" x14ac:dyDescent="0.3">
      <c r="A10" s="59" t="str">
        <f>ANALYSIS!A123</f>
        <v>Privata/semiprivata</v>
      </c>
      <c r="B10" s="97">
        <f>ANALYSIS!D123</f>
        <v>0</v>
      </c>
      <c r="C10" s="97">
        <f t="shared" si="0"/>
        <v>1</v>
      </c>
    </row>
    <row r="11" spans="1:3" s="2" customFormat="1" ht="13" x14ac:dyDescent="0.3">
      <c r="A11" s="59" t="str">
        <f>ANALYSIS!A124</f>
        <v xml:space="preserve">Dentistista </v>
      </c>
      <c r="B11" s="97">
        <f>ANALYSIS!D124</f>
        <v>0</v>
      </c>
      <c r="C11" s="97">
        <f t="shared" si="0"/>
        <v>1</v>
      </c>
    </row>
    <row r="12" spans="1:3" s="2" customFormat="1" ht="13" x14ac:dyDescent="0.3">
      <c r="A12" s="59" t="str">
        <f>ANALYSIS!A125</f>
        <v>Fitness</v>
      </c>
      <c r="B12" s="97">
        <f>ANALYSIS!D125</f>
        <v>0</v>
      </c>
      <c r="C12" s="97">
        <f t="shared" si="0"/>
        <v>1</v>
      </c>
    </row>
    <row r="13" spans="1:3" s="2" customFormat="1" ht="13" x14ac:dyDescent="0.3">
      <c r="A13" s="59" t="str">
        <f>ANALYSIS!A126</f>
        <v xml:space="preserve">Occhiali e Lenti a contatto </v>
      </c>
      <c r="B13" s="97">
        <f>ANALYSIS!D126</f>
        <v>0</v>
      </c>
      <c r="C13" s="97">
        <f t="shared" si="0"/>
        <v>1</v>
      </c>
    </row>
    <row r="14" spans="1:3" s="2" customFormat="1" ht="13" x14ac:dyDescent="0.3">
      <c r="A14" s="59" t="str">
        <f>ANALYSIS!A127</f>
        <v xml:space="preserve">Assistenza domiciliare </v>
      </c>
      <c r="B14" s="97">
        <f>ANALYSIS!D127</f>
        <v>0</v>
      </c>
      <c r="C14" s="97">
        <f t="shared" si="0"/>
        <v>1</v>
      </c>
    </row>
    <row r="15" spans="1:3" s="2" customFormat="1" ht="13" x14ac:dyDescent="0.3">
      <c r="A15" s="59" t="str">
        <f>ANALYSIS!A128</f>
        <v>Chec-kup</v>
      </c>
      <c r="B15" s="97">
        <f>ANALYSIS!D128</f>
        <v>0</v>
      </c>
      <c r="C15" s="97">
        <f t="shared" si="0"/>
        <v>1</v>
      </c>
    </row>
    <row r="16" spans="1:3" s="2" customFormat="1" ht="13" x14ac:dyDescent="0.3">
      <c r="A16" s="59" t="str">
        <f>ANALYSIS!A129</f>
        <v xml:space="preserve">Prevenzione ginecologica </v>
      </c>
      <c r="B16" s="97">
        <f>ANALYSIS!D129</f>
        <v>0</v>
      </c>
      <c r="C16" s="97">
        <f t="shared" si="0"/>
        <v>1</v>
      </c>
    </row>
    <row r="17" spans="1:3" s="2" customFormat="1" ht="13" x14ac:dyDescent="0.3">
      <c r="A17" s="59" t="str">
        <f>ANALYSIS!A130</f>
        <v xml:space="preserve">Trasporto e salvataggio </v>
      </c>
      <c r="B17" s="97">
        <f>ANALYSIS!D130</f>
        <v>0</v>
      </c>
      <c r="C17" s="97">
        <f t="shared" si="0"/>
        <v>1</v>
      </c>
    </row>
    <row r="18" spans="1:3" s="2" customFormat="1" ht="13" x14ac:dyDescent="0.3">
      <c r="A18" s="59" t="str">
        <f>ANALYSIS!A131</f>
        <v xml:space="preserve">Medicina alternativa </v>
      </c>
      <c r="B18" s="97">
        <f>ANALYSIS!D131</f>
        <v>0</v>
      </c>
      <c r="C18" s="97">
        <f t="shared" si="0"/>
        <v>1</v>
      </c>
    </row>
    <row r="19" spans="1:3" s="2" customFormat="1" ht="13" x14ac:dyDescent="0.3">
      <c r="A19" s="59" t="str">
        <f>ANALYSIS!A132</f>
        <v xml:space="preserve">Medicianli fuorilista </v>
      </c>
      <c r="B19" s="97">
        <f>ANALYSIS!D132</f>
        <v>0</v>
      </c>
      <c r="C19" s="97">
        <f t="shared" si="0"/>
        <v>1</v>
      </c>
    </row>
    <row r="20" spans="1:3" s="2" customFormat="1" ht="13" x14ac:dyDescent="0.3">
      <c r="A20" s="59" t="str">
        <f>ANALYSIS!A133</f>
        <v xml:space="preserve">Altro </v>
      </c>
      <c r="B20" s="97">
        <f>ANALYSIS!D133</f>
        <v>0</v>
      </c>
      <c r="C20" s="97">
        <f t="shared" si="0"/>
        <v>1</v>
      </c>
    </row>
    <row r="21" spans="1:3" s="2" customFormat="1" ht="13" x14ac:dyDescent="0.3">
      <c r="B21" s="98"/>
      <c r="C21" s="98"/>
    </row>
    <row r="22" spans="1:3" s="2" customFormat="1" ht="13" x14ac:dyDescent="0.3">
      <c r="A22" s="59" t="str">
        <f>A52</f>
        <v>SOLUZIONE PROPOSTA</v>
      </c>
      <c r="B22" s="97" t="str">
        <f>B7</f>
        <v>Copertura</v>
      </c>
      <c r="C22" s="97" t="str">
        <f>C7</f>
        <v>Rischio Spese</v>
      </c>
    </row>
    <row r="23" spans="1:3" s="2" customFormat="1" ht="13" x14ac:dyDescent="0.3">
      <c r="A23" s="59" t="str">
        <f>A8</f>
        <v>Base (LAMAL)</v>
      </c>
      <c r="B23" s="97">
        <v>1</v>
      </c>
      <c r="C23" s="97">
        <f t="shared" ref="C23:C33" si="1">1-B23</f>
        <v>0</v>
      </c>
    </row>
    <row r="24" spans="1:3" s="2" customFormat="1" ht="13" x14ac:dyDescent="0.3">
      <c r="A24" s="59" t="str">
        <f>A9</f>
        <v xml:space="preserve">Libera scelta medici e ospedali </v>
      </c>
      <c r="B24" s="97">
        <f>ANALYSIS!I122</f>
        <v>1</v>
      </c>
      <c r="C24" s="97">
        <f t="shared" si="1"/>
        <v>0</v>
      </c>
    </row>
    <row r="25" spans="1:3" s="2" customFormat="1" ht="13" x14ac:dyDescent="0.3">
      <c r="A25" s="59" t="str">
        <f>A10</f>
        <v>Privata/semiprivata</v>
      </c>
      <c r="B25" s="97">
        <f>ANALYSIS!I123</f>
        <v>1</v>
      </c>
      <c r="C25" s="97">
        <f t="shared" si="1"/>
        <v>0</v>
      </c>
    </row>
    <row r="26" spans="1:3" s="2" customFormat="1" ht="13" x14ac:dyDescent="0.3">
      <c r="A26" s="59" t="str">
        <f>A11</f>
        <v xml:space="preserve">Dentistista </v>
      </c>
      <c r="B26" s="97">
        <f>ANALYSIS!I124</f>
        <v>1</v>
      </c>
      <c r="C26" s="97">
        <f t="shared" si="1"/>
        <v>0</v>
      </c>
    </row>
    <row r="27" spans="1:3" s="2" customFormat="1" ht="13" x14ac:dyDescent="0.3">
      <c r="A27" s="59" t="str">
        <f>A12</f>
        <v>Fitness</v>
      </c>
      <c r="B27" s="97">
        <f>ANALYSIS!I125</f>
        <v>1</v>
      </c>
      <c r="C27" s="97">
        <f t="shared" si="1"/>
        <v>0</v>
      </c>
    </row>
    <row r="28" spans="1:3" s="2" customFormat="1" ht="13" x14ac:dyDescent="0.3">
      <c r="A28" s="59" t="str">
        <f t="shared" ref="A28:A35" si="2">A13</f>
        <v xml:space="preserve">Occhiali e Lenti a contatto </v>
      </c>
      <c r="B28" s="97">
        <f>ANALYSIS!I126</f>
        <v>1</v>
      </c>
      <c r="C28" s="97">
        <f t="shared" si="1"/>
        <v>0</v>
      </c>
    </row>
    <row r="29" spans="1:3" s="2" customFormat="1" ht="13" x14ac:dyDescent="0.3">
      <c r="A29" s="59" t="str">
        <f t="shared" si="2"/>
        <v xml:space="preserve">Assistenza domiciliare </v>
      </c>
      <c r="B29" s="97">
        <f>ANALYSIS!I127</f>
        <v>1</v>
      </c>
      <c r="C29" s="97">
        <f t="shared" si="1"/>
        <v>0</v>
      </c>
    </row>
    <row r="30" spans="1:3" s="2" customFormat="1" ht="13" x14ac:dyDescent="0.3">
      <c r="A30" s="59" t="str">
        <f t="shared" si="2"/>
        <v>Chec-kup</v>
      </c>
      <c r="B30" s="97">
        <f>ANALYSIS!I128</f>
        <v>1</v>
      </c>
      <c r="C30" s="97">
        <f t="shared" si="1"/>
        <v>0</v>
      </c>
    </row>
    <row r="31" spans="1:3" s="2" customFormat="1" ht="13" x14ac:dyDescent="0.3">
      <c r="A31" s="59" t="str">
        <f t="shared" si="2"/>
        <v xml:space="preserve">Prevenzione ginecologica </v>
      </c>
      <c r="B31" s="97">
        <f>ANALYSIS!I129</f>
        <v>1</v>
      </c>
      <c r="C31" s="97">
        <f t="shared" si="1"/>
        <v>0</v>
      </c>
    </row>
    <row r="32" spans="1:3" s="2" customFormat="1" ht="13" x14ac:dyDescent="0.3">
      <c r="A32" s="59" t="str">
        <f t="shared" si="2"/>
        <v xml:space="preserve">Trasporto e salvataggio </v>
      </c>
      <c r="B32" s="97">
        <f>ANALYSIS!I130</f>
        <v>1</v>
      </c>
      <c r="C32" s="97">
        <f t="shared" si="1"/>
        <v>0</v>
      </c>
    </row>
    <row r="33" spans="1:3" s="2" customFormat="1" ht="13" x14ac:dyDescent="0.3">
      <c r="A33" s="59" t="str">
        <f t="shared" si="2"/>
        <v xml:space="preserve">Medicina alternativa </v>
      </c>
      <c r="B33" s="97">
        <f>ANALYSIS!I131</f>
        <v>1</v>
      </c>
      <c r="C33" s="97">
        <f t="shared" si="1"/>
        <v>0</v>
      </c>
    </row>
    <row r="34" spans="1:3" s="2" customFormat="1" ht="13" x14ac:dyDescent="0.3">
      <c r="A34" s="59" t="str">
        <f t="shared" si="2"/>
        <v xml:space="preserve">Medicianli fuorilista </v>
      </c>
      <c r="B34" s="97">
        <f>ANALYSIS!I132</f>
        <v>1</v>
      </c>
      <c r="C34" s="97">
        <f>1-B34</f>
        <v>0</v>
      </c>
    </row>
    <row r="35" spans="1:3" s="2" customFormat="1" ht="13" x14ac:dyDescent="0.3">
      <c r="A35" s="59" t="str">
        <f t="shared" si="2"/>
        <v xml:space="preserve">Altro </v>
      </c>
      <c r="B35" s="97">
        <f>ANALYSIS!I133</f>
        <v>1</v>
      </c>
      <c r="C35" s="97">
        <f>1-B35</f>
        <v>0</v>
      </c>
    </row>
    <row r="36" spans="1:3" s="2" customFormat="1" ht="13" x14ac:dyDescent="0.3"/>
    <row r="37" spans="1:3" s="2" customFormat="1" ht="13" x14ac:dyDescent="0.3">
      <c r="A37" s="59" t="str">
        <f>Traduzioni!G219</f>
        <v xml:space="preserve">COPERTURE ATTUALI </v>
      </c>
      <c r="B37" s="97" t="str">
        <f>B22</f>
        <v>Copertura</v>
      </c>
      <c r="C37" s="97" t="str">
        <f>C22</f>
        <v>Rischio Spese</v>
      </c>
    </row>
    <row r="38" spans="1:3" s="2" customFormat="1" ht="13" x14ac:dyDescent="0.3">
      <c r="A38" s="59" t="str">
        <f>A20</f>
        <v xml:space="preserve">Altro </v>
      </c>
      <c r="B38" s="97">
        <f>B20</f>
        <v>0</v>
      </c>
      <c r="C38" s="97">
        <f>C20</f>
        <v>1</v>
      </c>
    </row>
    <row r="39" spans="1:3" s="2" customFormat="1" ht="13" x14ac:dyDescent="0.3">
      <c r="A39" s="59" t="str">
        <f>A19</f>
        <v xml:space="preserve">Medicianli fuorilista </v>
      </c>
      <c r="B39" s="97">
        <f>B19</f>
        <v>0</v>
      </c>
      <c r="C39" s="97">
        <f>C19</f>
        <v>1</v>
      </c>
    </row>
    <row r="40" spans="1:3" s="2" customFormat="1" ht="13" x14ac:dyDescent="0.3">
      <c r="A40" s="59" t="str">
        <f>A18</f>
        <v xml:space="preserve">Medicina alternativa </v>
      </c>
      <c r="B40" s="59">
        <f>B18</f>
        <v>0</v>
      </c>
      <c r="C40" s="59">
        <f>C18</f>
        <v>1</v>
      </c>
    </row>
    <row r="41" spans="1:3" s="2" customFormat="1" ht="13" x14ac:dyDescent="0.3">
      <c r="A41" s="59" t="str">
        <f>A17</f>
        <v xml:space="preserve">Trasporto e salvataggio </v>
      </c>
      <c r="B41" s="59">
        <f>B17</f>
        <v>0</v>
      </c>
      <c r="C41" s="59">
        <f>C17</f>
        <v>1</v>
      </c>
    </row>
    <row r="42" spans="1:3" s="2" customFormat="1" ht="13" x14ac:dyDescent="0.3">
      <c r="A42" s="59" t="str">
        <f>A16</f>
        <v xml:space="preserve">Prevenzione ginecologica </v>
      </c>
      <c r="B42" s="59">
        <f>B16</f>
        <v>0</v>
      </c>
      <c r="C42" s="59">
        <f>C16</f>
        <v>1</v>
      </c>
    </row>
    <row r="43" spans="1:3" s="2" customFormat="1" ht="13" x14ac:dyDescent="0.3">
      <c r="A43" s="59" t="str">
        <f>A15</f>
        <v>Chec-kup</v>
      </c>
      <c r="B43" s="97">
        <f>B15</f>
        <v>0</v>
      </c>
      <c r="C43" s="97">
        <f>C15</f>
        <v>1</v>
      </c>
    </row>
    <row r="44" spans="1:3" s="2" customFormat="1" ht="13" x14ac:dyDescent="0.3">
      <c r="A44" s="59" t="str">
        <f>A14</f>
        <v xml:space="preserve">Assistenza domiciliare </v>
      </c>
      <c r="B44" s="97">
        <f>B14</f>
        <v>0</v>
      </c>
      <c r="C44" s="97">
        <f>C14</f>
        <v>1</v>
      </c>
    </row>
    <row r="45" spans="1:3" s="2" customFormat="1" ht="13" x14ac:dyDescent="0.3">
      <c r="A45" s="59" t="str">
        <f>A13</f>
        <v xml:space="preserve">Occhiali e Lenti a contatto </v>
      </c>
      <c r="B45" s="97">
        <f>B13</f>
        <v>0</v>
      </c>
      <c r="C45" s="97">
        <f>C13</f>
        <v>1</v>
      </c>
    </row>
    <row r="46" spans="1:3" s="2" customFormat="1" ht="13" x14ac:dyDescent="0.3">
      <c r="A46" s="59" t="str">
        <f>A12</f>
        <v>Fitness</v>
      </c>
      <c r="B46" s="59">
        <f>B12</f>
        <v>0</v>
      </c>
      <c r="C46" s="59">
        <f>C12</f>
        <v>1</v>
      </c>
    </row>
    <row r="47" spans="1:3" s="2" customFormat="1" ht="13" x14ac:dyDescent="0.3">
      <c r="A47" s="59" t="str">
        <f>A11</f>
        <v xml:space="preserve">Dentistista </v>
      </c>
      <c r="B47" s="59">
        <f>B11</f>
        <v>0</v>
      </c>
      <c r="C47" s="59">
        <f>C11</f>
        <v>1</v>
      </c>
    </row>
    <row r="48" spans="1:3" x14ac:dyDescent="0.35">
      <c r="A48" s="59" t="str">
        <f>A10</f>
        <v>Privata/semiprivata</v>
      </c>
      <c r="B48" s="59">
        <f>B10</f>
        <v>0</v>
      </c>
      <c r="C48" s="59">
        <f>C10</f>
        <v>1</v>
      </c>
    </row>
    <row r="49" spans="1:3" x14ac:dyDescent="0.35">
      <c r="A49" s="59" t="str">
        <f>A9</f>
        <v xml:space="preserve">Libera scelta medici e ospedali </v>
      </c>
      <c r="B49" s="59">
        <f>B9</f>
        <v>0</v>
      </c>
      <c r="C49" s="59">
        <f>C9</f>
        <v>1</v>
      </c>
    </row>
    <row r="50" spans="1:3" x14ac:dyDescent="0.35">
      <c r="A50" s="59" t="str">
        <f>A8</f>
        <v>Base (LAMAL)</v>
      </c>
      <c r="B50" s="59">
        <f>B8</f>
        <v>1</v>
      </c>
      <c r="C50" s="59">
        <f>C8</f>
        <v>0</v>
      </c>
    </row>
    <row r="52" spans="1:3" x14ac:dyDescent="0.35">
      <c r="A52" s="59" t="str">
        <f>Traduzioni!G220</f>
        <v>SOLUZIONE PROPOSTA</v>
      </c>
      <c r="B52" s="97" t="str">
        <f>B37</f>
        <v>Copertura</v>
      </c>
      <c r="C52" s="97" t="str">
        <f>C37</f>
        <v>Rischio Spese</v>
      </c>
    </row>
    <row r="53" spans="1:3" x14ac:dyDescent="0.35">
      <c r="A53" s="59" t="str">
        <f>A35</f>
        <v xml:space="preserve">Altro </v>
      </c>
      <c r="B53" s="97">
        <f>B35</f>
        <v>1</v>
      </c>
      <c r="C53" s="97">
        <f>C35</f>
        <v>0</v>
      </c>
    </row>
    <row r="54" spans="1:3" x14ac:dyDescent="0.35">
      <c r="A54" s="59" t="str">
        <f>A34</f>
        <v xml:space="preserve">Medicianli fuorilista </v>
      </c>
      <c r="B54" s="97">
        <f>B34</f>
        <v>1</v>
      </c>
      <c r="C54" s="97">
        <f>C34</f>
        <v>0</v>
      </c>
    </row>
    <row r="55" spans="1:3" x14ac:dyDescent="0.35">
      <c r="A55" s="59" t="str">
        <f>A33</f>
        <v xml:space="preserve">Medicina alternativa </v>
      </c>
      <c r="B55" s="97">
        <f>B33</f>
        <v>1</v>
      </c>
      <c r="C55" s="97">
        <f>C33</f>
        <v>0</v>
      </c>
    </row>
    <row r="56" spans="1:3" x14ac:dyDescent="0.35">
      <c r="A56" s="59" t="str">
        <f>A32</f>
        <v xml:space="preserve">Trasporto e salvataggio </v>
      </c>
      <c r="B56" s="97">
        <f>B32</f>
        <v>1</v>
      </c>
      <c r="C56" s="97">
        <f>C32</f>
        <v>0</v>
      </c>
    </row>
    <row r="57" spans="1:3" x14ac:dyDescent="0.35">
      <c r="A57" s="59" t="str">
        <f>A31</f>
        <v xml:space="preserve">Prevenzione ginecologica </v>
      </c>
      <c r="B57" s="97">
        <f>B31</f>
        <v>1</v>
      </c>
      <c r="C57" s="97">
        <f>C31</f>
        <v>0</v>
      </c>
    </row>
    <row r="58" spans="1:3" x14ac:dyDescent="0.35">
      <c r="A58" s="59" t="str">
        <f>A30</f>
        <v>Chec-kup</v>
      </c>
      <c r="B58" s="97">
        <f>B30</f>
        <v>1</v>
      </c>
      <c r="C58" s="97">
        <f>C30</f>
        <v>0</v>
      </c>
    </row>
    <row r="59" spans="1:3" x14ac:dyDescent="0.35">
      <c r="A59" s="59" t="str">
        <f>A29</f>
        <v xml:space="preserve">Assistenza domiciliare </v>
      </c>
      <c r="B59" s="97">
        <f>B29</f>
        <v>1</v>
      </c>
      <c r="C59" s="97">
        <f>C29</f>
        <v>0</v>
      </c>
    </row>
    <row r="60" spans="1:3" x14ac:dyDescent="0.35">
      <c r="A60" s="59" t="str">
        <f>A28</f>
        <v xml:space="preserve">Occhiali e Lenti a contatto </v>
      </c>
      <c r="B60" s="97">
        <f>B28</f>
        <v>1</v>
      </c>
      <c r="C60" s="97">
        <f>C28</f>
        <v>0</v>
      </c>
    </row>
    <row r="61" spans="1:3" x14ac:dyDescent="0.35">
      <c r="A61" s="59" t="str">
        <f>A27</f>
        <v>Fitness</v>
      </c>
      <c r="B61" s="97">
        <f>B27</f>
        <v>1</v>
      </c>
      <c r="C61" s="97">
        <f>C27</f>
        <v>0</v>
      </c>
    </row>
    <row r="62" spans="1:3" x14ac:dyDescent="0.35">
      <c r="A62" s="59" t="str">
        <f>A26</f>
        <v xml:space="preserve">Dentistista </v>
      </c>
      <c r="B62" s="97">
        <f>B26</f>
        <v>1</v>
      </c>
      <c r="C62" s="97">
        <f>C26</f>
        <v>0</v>
      </c>
    </row>
    <row r="63" spans="1:3" x14ac:dyDescent="0.35">
      <c r="A63" s="59" t="str">
        <f>A25</f>
        <v>Privata/semiprivata</v>
      </c>
      <c r="B63" s="97">
        <f>B25</f>
        <v>1</v>
      </c>
      <c r="C63" s="97">
        <f>C25</f>
        <v>0</v>
      </c>
    </row>
    <row r="64" spans="1:3" x14ac:dyDescent="0.35">
      <c r="A64" s="59" t="str">
        <f>A24</f>
        <v xml:space="preserve">Libera scelta medici e ospedali </v>
      </c>
      <c r="B64" s="97">
        <f>B24</f>
        <v>1</v>
      </c>
      <c r="C64" s="97">
        <f>C24</f>
        <v>0</v>
      </c>
    </row>
    <row r="65" spans="1:3" x14ac:dyDescent="0.35">
      <c r="A65" s="59" t="str">
        <f>A23</f>
        <v>Base (LAMAL)</v>
      </c>
      <c r="B65" s="97">
        <f>B23</f>
        <v>1</v>
      </c>
      <c r="C65" s="97">
        <f>C23</f>
        <v>0</v>
      </c>
    </row>
  </sheetData>
  <mergeCells count="4">
    <mergeCell ref="B1:C1"/>
    <mergeCell ref="B2:C2"/>
    <mergeCell ref="B3:C3"/>
    <mergeCell ref="B4:C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EB89-141F-486F-A841-B88E35633044}">
  <dimension ref="A1:C65"/>
  <sheetViews>
    <sheetView topLeftCell="A34" workbookViewId="0">
      <selection activeCell="B52" sqref="B52:C52"/>
    </sheetView>
  </sheetViews>
  <sheetFormatPr defaultColWidth="9.7265625" defaultRowHeight="15.5" x14ac:dyDescent="0.35"/>
  <cols>
    <col min="1" max="1" width="32" style="1" customWidth="1"/>
    <col min="2" max="2" width="24.26953125" style="1" customWidth="1"/>
    <col min="3" max="3" width="19.26953125" style="1" customWidth="1"/>
    <col min="4" max="16384" width="9.7265625" style="1"/>
  </cols>
  <sheetData>
    <row r="1" spans="1:3" s="2" customFormat="1" ht="13" x14ac:dyDescent="0.3">
      <c r="A1" s="50" t="s">
        <v>201</v>
      </c>
      <c r="B1" s="910">
        <f>ANALYSIS!C112</f>
        <v>0</v>
      </c>
      <c r="C1" s="910"/>
    </row>
    <row r="2" spans="1:3" s="2" customFormat="1" ht="13" x14ac:dyDescent="0.3">
      <c r="A2" s="50" t="s">
        <v>33</v>
      </c>
      <c r="B2" s="910"/>
      <c r="C2" s="910"/>
    </row>
    <row r="3" spans="1:3" s="2" customFormat="1" ht="13" x14ac:dyDescent="0.3">
      <c r="A3" s="51" t="s">
        <v>32</v>
      </c>
      <c r="B3" s="910"/>
      <c r="C3" s="910"/>
    </row>
    <row r="4" spans="1:3" s="2" customFormat="1" ht="13" x14ac:dyDescent="0.3">
      <c r="A4" s="50" t="s">
        <v>2</v>
      </c>
      <c r="B4" s="911"/>
      <c r="C4" s="911"/>
    </row>
    <row r="5" spans="1:3" s="2" customFormat="1" ht="13" x14ac:dyDescent="0.3">
      <c r="A5" s="52"/>
    </row>
    <row r="6" spans="1:3" s="2" customFormat="1" ht="13" x14ac:dyDescent="0.3"/>
    <row r="7" spans="1:3" s="2" customFormat="1" ht="13" x14ac:dyDescent="0.3">
      <c r="A7" s="59" t="s">
        <v>202</v>
      </c>
      <c r="B7" s="59" t="str">
        <f>Traduzioni!$G$227</f>
        <v>Copertura</v>
      </c>
      <c r="C7" s="59" t="str">
        <f>Traduzioni!$G$228</f>
        <v>Rischio Spese</v>
      </c>
    </row>
    <row r="8" spans="1:3" s="2" customFormat="1" ht="13" x14ac:dyDescent="0.3">
      <c r="A8" s="99" t="s">
        <v>209</v>
      </c>
      <c r="B8" s="97">
        <v>1</v>
      </c>
      <c r="C8" s="97">
        <f t="shared" ref="C8:C20" si="0">1-B8</f>
        <v>0</v>
      </c>
    </row>
    <row r="9" spans="1:3" s="2" customFormat="1" ht="13" x14ac:dyDescent="0.3">
      <c r="A9" s="59" t="str">
        <f>ANALYSIS!A122</f>
        <v xml:space="preserve">Libera scelta medici e ospedali </v>
      </c>
      <c r="B9" s="97">
        <f>ANALYSIS!C122</f>
        <v>0</v>
      </c>
      <c r="C9" s="97">
        <f t="shared" si="0"/>
        <v>1</v>
      </c>
    </row>
    <row r="10" spans="1:3" s="2" customFormat="1" ht="13" x14ac:dyDescent="0.3">
      <c r="A10" s="59" t="str">
        <f>ANALYSIS!A123</f>
        <v>Privata/semiprivata</v>
      </c>
      <c r="B10" s="97">
        <f>ANALYSIS!C123</f>
        <v>0</v>
      </c>
      <c r="C10" s="97">
        <f t="shared" si="0"/>
        <v>1</v>
      </c>
    </row>
    <row r="11" spans="1:3" s="2" customFormat="1" ht="13" x14ac:dyDescent="0.3">
      <c r="A11" s="59" t="str">
        <f>ANALYSIS!A124</f>
        <v xml:space="preserve">Dentistista </v>
      </c>
      <c r="B11" s="97">
        <f>ANALYSIS!C124</f>
        <v>0</v>
      </c>
      <c r="C11" s="97">
        <f t="shared" si="0"/>
        <v>1</v>
      </c>
    </row>
    <row r="12" spans="1:3" s="2" customFormat="1" ht="13" x14ac:dyDescent="0.3">
      <c r="A12" s="59" t="str">
        <f>ANALYSIS!A125</f>
        <v>Fitness</v>
      </c>
      <c r="B12" s="97">
        <f>ANALYSIS!C125</f>
        <v>0</v>
      </c>
      <c r="C12" s="97">
        <f t="shared" si="0"/>
        <v>1</v>
      </c>
    </row>
    <row r="13" spans="1:3" s="2" customFormat="1" ht="13" x14ac:dyDescent="0.3">
      <c r="A13" s="59" t="str">
        <f>ANALYSIS!A126</f>
        <v xml:space="preserve">Occhiali e Lenti a contatto </v>
      </c>
      <c r="B13" s="97">
        <f>ANALYSIS!C126</f>
        <v>0</v>
      </c>
      <c r="C13" s="97">
        <f t="shared" si="0"/>
        <v>1</v>
      </c>
    </row>
    <row r="14" spans="1:3" s="2" customFormat="1" ht="13" x14ac:dyDescent="0.3">
      <c r="A14" s="59" t="str">
        <f>ANALYSIS!A127</f>
        <v xml:space="preserve">Assistenza domiciliare </v>
      </c>
      <c r="B14" s="97">
        <f>ANALYSIS!C127</f>
        <v>0</v>
      </c>
      <c r="C14" s="97">
        <f t="shared" si="0"/>
        <v>1</v>
      </c>
    </row>
    <row r="15" spans="1:3" s="2" customFormat="1" ht="13" x14ac:dyDescent="0.3">
      <c r="A15" s="59" t="str">
        <f>ANALYSIS!A128</f>
        <v>Chec-kup</v>
      </c>
      <c r="B15" s="97">
        <f>ANALYSIS!C128</f>
        <v>0</v>
      </c>
      <c r="C15" s="97">
        <f t="shared" si="0"/>
        <v>1</v>
      </c>
    </row>
    <row r="16" spans="1:3" s="2" customFormat="1" ht="13" x14ac:dyDescent="0.3">
      <c r="A16" s="59" t="str">
        <f>ANALYSIS!A129</f>
        <v xml:space="preserve">Prevenzione ginecologica </v>
      </c>
      <c r="B16" s="97">
        <f>ANALYSIS!C129</f>
        <v>0</v>
      </c>
      <c r="C16" s="97">
        <f t="shared" si="0"/>
        <v>1</v>
      </c>
    </row>
    <row r="17" spans="1:3" s="2" customFormat="1" ht="13" x14ac:dyDescent="0.3">
      <c r="A17" s="59" t="str">
        <f>ANALYSIS!A130</f>
        <v xml:space="preserve">Trasporto e salvataggio </v>
      </c>
      <c r="B17" s="97">
        <f>ANALYSIS!C130</f>
        <v>0</v>
      </c>
      <c r="C17" s="97">
        <f t="shared" si="0"/>
        <v>1</v>
      </c>
    </row>
    <row r="18" spans="1:3" s="2" customFormat="1" ht="13" x14ac:dyDescent="0.3">
      <c r="A18" s="59" t="str">
        <f>ANALYSIS!A131</f>
        <v xml:space="preserve">Medicina alternativa </v>
      </c>
      <c r="B18" s="97">
        <f>ANALYSIS!C131</f>
        <v>0</v>
      </c>
      <c r="C18" s="97">
        <f t="shared" si="0"/>
        <v>1</v>
      </c>
    </row>
    <row r="19" spans="1:3" s="2" customFormat="1" ht="13" x14ac:dyDescent="0.3">
      <c r="A19" s="59" t="str">
        <f>ANALYSIS!A132</f>
        <v xml:space="preserve">Medicianli fuorilista </v>
      </c>
      <c r="B19" s="97">
        <f>ANALYSIS!C132</f>
        <v>0</v>
      </c>
      <c r="C19" s="97">
        <f t="shared" si="0"/>
        <v>1</v>
      </c>
    </row>
    <row r="20" spans="1:3" s="2" customFormat="1" ht="13" x14ac:dyDescent="0.3">
      <c r="A20" s="59" t="str">
        <f>ANALYSIS!A133</f>
        <v xml:space="preserve">Altro </v>
      </c>
      <c r="B20" s="97">
        <f>ANALYSIS!C133</f>
        <v>0</v>
      </c>
      <c r="C20" s="97">
        <f t="shared" si="0"/>
        <v>1</v>
      </c>
    </row>
    <row r="21" spans="1:3" s="2" customFormat="1" ht="13" x14ac:dyDescent="0.3">
      <c r="B21" s="98"/>
      <c r="C21" s="98"/>
    </row>
    <row r="22" spans="1:3" s="2" customFormat="1" ht="13" x14ac:dyDescent="0.3">
      <c r="A22" s="59" t="s">
        <v>205</v>
      </c>
      <c r="B22" s="97" t="str">
        <f>B7</f>
        <v>Copertura</v>
      </c>
      <c r="C22" s="97" t="str">
        <f>C7</f>
        <v>Rischio Spese</v>
      </c>
    </row>
    <row r="23" spans="1:3" s="2" customFormat="1" ht="13" x14ac:dyDescent="0.3">
      <c r="A23" s="59" t="str">
        <f>A8</f>
        <v>Base (LAMAL)</v>
      </c>
      <c r="B23" s="97">
        <v>1</v>
      </c>
      <c r="C23" s="97">
        <f t="shared" ref="C23:C33" si="1">1-B23</f>
        <v>0</v>
      </c>
    </row>
    <row r="24" spans="1:3" s="2" customFormat="1" ht="13" x14ac:dyDescent="0.3">
      <c r="A24" s="59" t="str">
        <f>A9</f>
        <v xml:space="preserve">Libera scelta medici e ospedali </v>
      </c>
      <c r="B24" s="97">
        <f>ANALYSIS!H122</f>
        <v>1</v>
      </c>
      <c r="C24" s="97">
        <f t="shared" si="1"/>
        <v>0</v>
      </c>
    </row>
    <row r="25" spans="1:3" s="2" customFormat="1" ht="13" x14ac:dyDescent="0.3">
      <c r="A25" s="59" t="str">
        <f>A10</f>
        <v>Privata/semiprivata</v>
      </c>
      <c r="B25" s="97">
        <f>ANALYSIS!H123</f>
        <v>1</v>
      </c>
      <c r="C25" s="97">
        <f t="shared" si="1"/>
        <v>0</v>
      </c>
    </row>
    <row r="26" spans="1:3" s="2" customFormat="1" ht="13" x14ac:dyDescent="0.3">
      <c r="A26" s="59" t="str">
        <f>A11</f>
        <v xml:space="preserve">Dentistista </v>
      </c>
      <c r="B26" s="97">
        <f>ANALYSIS!H124</f>
        <v>1</v>
      </c>
      <c r="C26" s="97">
        <f t="shared" si="1"/>
        <v>0</v>
      </c>
    </row>
    <row r="27" spans="1:3" s="2" customFormat="1" ht="13" x14ac:dyDescent="0.3">
      <c r="A27" s="59" t="str">
        <f>A12</f>
        <v>Fitness</v>
      </c>
      <c r="B27" s="97">
        <f>ANALYSIS!H125</f>
        <v>1</v>
      </c>
      <c r="C27" s="97">
        <f t="shared" si="1"/>
        <v>0</v>
      </c>
    </row>
    <row r="28" spans="1:3" s="2" customFormat="1" ht="13" x14ac:dyDescent="0.3">
      <c r="A28" s="59" t="str">
        <f t="shared" ref="A28:A35" si="2">A13</f>
        <v xml:space="preserve">Occhiali e Lenti a contatto </v>
      </c>
      <c r="B28" s="97">
        <f>ANALYSIS!H126</f>
        <v>1</v>
      </c>
      <c r="C28" s="97">
        <f t="shared" si="1"/>
        <v>0</v>
      </c>
    </row>
    <row r="29" spans="1:3" s="2" customFormat="1" ht="13" x14ac:dyDescent="0.3">
      <c r="A29" s="59" t="str">
        <f t="shared" si="2"/>
        <v xml:space="preserve">Assistenza domiciliare </v>
      </c>
      <c r="B29" s="97">
        <f>ANALYSIS!H127</f>
        <v>1</v>
      </c>
      <c r="C29" s="97">
        <f t="shared" si="1"/>
        <v>0</v>
      </c>
    </row>
    <row r="30" spans="1:3" s="2" customFormat="1" ht="13" x14ac:dyDescent="0.3">
      <c r="A30" s="59" t="str">
        <f t="shared" si="2"/>
        <v>Chec-kup</v>
      </c>
      <c r="B30" s="97">
        <f>ANALYSIS!H128</f>
        <v>1</v>
      </c>
      <c r="C30" s="97">
        <f t="shared" si="1"/>
        <v>0</v>
      </c>
    </row>
    <row r="31" spans="1:3" s="2" customFormat="1" ht="13" x14ac:dyDescent="0.3">
      <c r="A31" s="59" t="str">
        <f t="shared" si="2"/>
        <v xml:space="preserve">Prevenzione ginecologica </v>
      </c>
      <c r="B31" s="97">
        <f>ANALYSIS!H129</f>
        <v>1</v>
      </c>
      <c r="C31" s="97">
        <f t="shared" si="1"/>
        <v>0</v>
      </c>
    </row>
    <row r="32" spans="1:3" s="2" customFormat="1" ht="13" x14ac:dyDescent="0.3">
      <c r="A32" s="59" t="str">
        <f t="shared" si="2"/>
        <v xml:space="preserve">Trasporto e salvataggio </v>
      </c>
      <c r="B32" s="97">
        <f>ANALYSIS!H130</f>
        <v>1</v>
      </c>
      <c r="C32" s="97">
        <f t="shared" si="1"/>
        <v>0</v>
      </c>
    </row>
    <row r="33" spans="1:3" s="2" customFormat="1" ht="13" x14ac:dyDescent="0.3">
      <c r="A33" s="59" t="str">
        <f t="shared" si="2"/>
        <v xml:space="preserve">Medicina alternativa </v>
      </c>
      <c r="B33" s="97">
        <f>ANALYSIS!H131</f>
        <v>1</v>
      </c>
      <c r="C33" s="97">
        <f t="shared" si="1"/>
        <v>0</v>
      </c>
    </row>
    <row r="34" spans="1:3" s="2" customFormat="1" ht="13" x14ac:dyDescent="0.3">
      <c r="A34" s="59" t="str">
        <f t="shared" si="2"/>
        <v xml:space="preserve">Medicianli fuorilista </v>
      </c>
      <c r="B34" s="97">
        <f>ANALYSIS!H132</f>
        <v>1</v>
      </c>
      <c r="C34" s="97">
        <f>1-B34</f>
        <v>0</v>
      </c>
    </row>
    <row r="35" spans="1:3" s="2" customFormat="1" ht="13" x14ac:dyDescent="0.3">
      <c r="A35" s="59" t="str">
        <f t="shared" si="2"/>
        <v xml:space="preserve">Altro </v>
      </c>
      <c r="B35" s="97">
        <f>ANALYSIS!H133</f>
        <v>1</v>
      </c>
      <c r="C35" s="97">
        <f>1-B35</f>
        <v>0</v>
      </c>
    </row>
    <row r="36" spans="1:3" s="2" customFormat="1" ht="13" x14ac:dyDescent="0.3"/>
    <row r="37" spans="1:3" s="2" customFormat="1" ht="13" x14ac:dyDescent="0.3">
      <c r="A37" s="59" t="s">
        <v>202</v>
      </c>
      <c r="B37" s="59" t="str">
        <f>Traduzioni!$G$227</f>
        <v>Copertura</v>
      </c>
      <c r="C37" s="59" t="str">
        <f>Traduzioni!$G$228</f>
        <v>Rischio Spese</v>
      </c>
    </row>
    <row r="38" spans="1:3" s="2" customFormat="1" ht="13" x14ac:dyDescent="0.3">
      <c r="A38" s="59" t="str">
        <f>A20</f>
        <v xml:space="preserve">Altro </v>
      </c>
      <c r="B38" s="97">
        <f>B20</f>
        <v>0</v>
      </c>
      <c r="C38" s="97">
        <f>C20</f>
        <v>1</v>
      </c>
    </row>
    <row r="39" spans="1:3" s="2" customFormat="1" ht="13" x14ac:dyDescent="0.3">
      <c r="A39" s="59" t="str">
        <f>A19</f>
        <v xml:space="preserve">Medicianli fuorilista </v>
      </c>
      <c r="B39" s="97">
        <f>B19</f>
        <v>0</v>
      </c>
      <c r="C39" s="97">
        <f>C19</f>
        <v>1</v>
      </c>
    </row>
    <row r="40" spans="1:3" s="2" customFormat="1" ht="13" x14ac:dyDescent="0.3">
      <c r="A40" s="59" t="str">
        <f>A18</f>
        <v xml:space="preserve">Medicina alternativa </v>
      </c>
      <c r="B40" s="59">
        <f>B18</f>
        <v>0</v>
      </c>
      <c r="C40" s="59">
        <f>C18</f>
        <v>1</v>
      </c>
    </row>
    <row r="41" spans="1:3" s="2" customFormat="1" ht="13" x14ac:dyDescent="0.3">
      <c r="A41" s="59" t="str">
        <f>A17</f>
        <v xml:space="preserve">Trasporto e salvataggio </v>
      </c>
      <c r="B41" s="59">
        <f>B17</f>
        <v>0</v>
      </c>
      <c r="C41" s="59">
        <f>C17</f>
        <v>1</v>
      </c>
    </row>
    <row r="42" spans="1:3" s="2" customFormat="1" ht="13" x14ac:dyDescent="0.3">
      <c r="A42" s="59" t="str">
        <f>A16</f>
        <v xml:space="preserve">Prevenzione ginecologica </v>
      </c>
      <c r="B42" s="59">
        <f>B16</f>
        <v>0</v>
      </c>
      <c r="C42" s="59">
        <f>C16</f>
        <v>1</v>
      </c>
    </row>
    <row r="43" spans="1:3" s="2" customFormat="1" ht="13" x14ac:dyDescent="0.3">
      <c r="A43" s="59" t="str">
        <f>A15</f>
        <v>Chec-kup</v>
      </c>
      <c r="B43" s="97">
        <f>B15</f>
        <v>0</v>
      </c>
      <c r="C43" s="97">
        <f>C15</f>
        <v>1</v>
      </c>
    </row>
    <row r="44" spans="1:3" s="2" customFormat="1" ht="13" x14ac:dyDescent="0.3">
      <c r="A44" s="59" t="str">
        <f>A14</f>
        <v xml:space="preserve">Assistenza domiciliare </v>
      </c>
      <c r="B44" s="97">
        <f>B14</f>
        <v>0</v>
      </c>
      <c r="C44" s="97">
        <f>C14</f>
        <v>1</v>
      </c>
    </row>
    <row r="45" spans="1:3" s="2" customFormat="1" ht="13" x14ac:dyDescent="0.3">
      <c r="A45" s="59" t="str">
        <f>A13</f>
        <v xml:space="preserve">Occhiali e Lenti a contatto </v>
      </c>
      <c r="B45" s="97">
        <f>B13</f>
        <v>0</v>
      </c>
      <c r="C45" s="97">
        <f>C13</f>
        <v>1</v>
      </c>
    </row>
    <row r="46" spans="1:3" s="2" customFormat="1" ht="13" x14ac:dyDescent="0.3">
      <c r="A46" s="59" t="str">
        <f>A12</f>
        <v>Fitness</v>
      </c>
      <c r="B46" s="59">
        <f>B12</f>
        <v>0</v>
      </c>
      <c r="C46" s="59">
        <f>C12</f>
        <v>1</v>
      </c>
    </row>
    <row r="47" spans="1:3" s="2" customFormat="1" ht="13" x14ac:dyDescent="0.3">
      <c r="A47" s="59" t="str">
        <f>A11</f>
        <v xml:space="preserve">Dentistista </v>
      </c>
      <c r="B47" s="59">
        <f>B11</f>
        <v>0</v>
      </c>
      <c r="C47" s="59">
        <f>C11</f>
        <v>1</v>
      </c>
    </row>
    <row r="48" spans="1:3" x14ac:dyDescent="0.35">
      <c r="A48" s="59" t="str">
        <f>A10</f>
        <v>Privata/semiprivata</v>
      </c>
      <c r="B48" s="59">
        <f>B10</f>
        <v>0</v>
      </c>
      <c r="C48" s="59">
        <f>C10</f>
        <v>1</v>
      </c>
    </row>
    <row r="49" spans="1:3" x14ac:dyDescent="0.35">
      <c r="A49" s="59" t="str">
        <f>A9</f>
        <v xml:space="preserve">Libera scelta medici e ospedali </v>
      </c>
      <c r="B49" s="59">
        <f>B9</f>
        <v>0</v>
      </c>
      <c r="C49" s="59">
        <f>C9</f>
        <v>1</v>
      </c>
    </row>
    <row r="50" spans="1:3" x14ac:dyDescent="0.35">
      <c r="A50" s="59" t="str">
        <f>A8</f>
        <v>Base (LAMAL)</v>
      </c>
      <c r="B50" s="59">
        <f>B8</f>
        <v>1</v>
      </c>
      <c r="C50" s="59">
        <f>C8</f>
        <v>0</v>
      </c>
    </row>
    <row r="52" spans="1:3" x14ac:dyDescent="0.35">
      <c r="A52" s="59" t="str">
        <f>A22</f>
        <v>Situazione Proposta:</v>
      </c>
      <c r="B52" s="59" t="str">
        <f>Traduzioni!$G$227</f>
        <v>Copertura</v>
      </c>
      <c r="C52" s="59" t="str">
        <f>Traduzioni!$G$228</f>
        <v>Rischio Spese</v>
      </c>
    </row>
    <row r="53" spans="1:3" x14ac:dyDescent="0.35">
      <c r="A53" s="59" t="str">
        <f>A35</f>
        <v xml:space="preserve">Altro </v>
      </c>
      <c r="B53" s="97">
        <f>B35</f>
        <v>1</v>
      </c>
      <c r="C53" s="97">
        <f>C35</f>
        <v>0</v>
      </c>
    </row>
    <row r="54" spans="1:3" x14ac:dyDescent="0.35">
      <c r="A54" s="59" t="str">
        <f>A34</f>
        <v xml:space="preserve">Medicianli fuorilista </v>
      </c>
      <c r="B54" s="97">
        <f>B34</f>
        <v>1</v>
      </c>
      <c r="C54" s="97">
        <f>C34</f>
        <v>0</v>
      </c>
    </row>
    <row r="55" spans="1:3" x14ac:dyDescent="0.35">
      <c r="A55" s="59" t="str">
        <f>A33</f>
        <v xml:space="preserve">Medicina alternativa </v>
      </c>
      <c r="B55" s="97">
        <f>B33</f>
        <v>1</v>
      </c>
      <c r="C55" s="97">
        <f>C33</f>
        <v>0</v>
      </c>
    </row>
    <row r="56" spans="1:3" x14ac:dyDescent="0.35">
      <c r="A56" s="59" t="str">
        <f>A32</f>
        <v xml:space="preserve">Trasporto e salvataggio </v>
      </c>
      <c r="B56" s="97">
        <f>B32</f>
        <v>1</v>
      </c>
      <c r="C56" s="97">
        <f>C32</f>
        <v>0</v>
      </c>
    </row>
    <row r="57" spans="1:3" x14ac:dyDescent="0.35">
      <c r="A57" s="59" t="str">
        <f>A31</f>
        <v xml:space="preserve">Prevenzione ginecologica </v>
      </c>
      <c r="B57" s="97">
        <f>B31</f>
        <v>1</v>
      </c>
      <c r="C57" s="97">
        <f>C31</f>
        <v>0</v>
      </c>
    </row>
    <row r="58" spans="1:3" x14ac:dyDescent="0.35">
      <c r="A58" s="59" t="str">
        <f>A30</f>
        <v>Chec-kup</v>
      </c>
      <c r="B58" s="97">
        <f>B30</f>
        <v>1</v>
      </c>
      <c r="C58" s="97">
        <f>C30</f>
        <v>0</v>
      </c>
    </row>
    <row r="59" spans="1:3" x14ac:dyDescent="0.35">
      <c r="A59" s="59" t="str">
        <f>A29</f>
        <v xml:space="preserve">Assistenza domiciliare </v>
      </c>
      <c r="B59" s="97">
        <f>B29</f>
        <v>1</v>
      </c>
      <c r="C59" s="97">
        <f>C29</f>
        <v>0</v>
      </c>
    </row>
    <row r="60" spans="1:3" x14ac:dyDescent="0.35">
      <c r="A60" s="59" t="str">
        <f>A28</f>
        <v xml:space="preserve">Occhiali e Lenti a contatto </v>
      </c>
      <c r="B60" s="97">
        <f>B28</f>
        <v>1</v>
      </c>
      <c r="C60" s="97">
        <f>C28</f>
        <v>0</v>
      </c>
    </row>
    <row r="61" spans="1:3" x14ac:dyDescent="0.35">
      <c r="A61" s="59" t="str">
        <f>A27</f>
        <v>Fitness</v>
      </c>
      <c r="B61" s="97">
        <f>B27</f>
        <v>1</v>
      </c>
      <c r="C61" s="97">
        <f>C27</f>
        <v>0</v>
      </c>
    </row>
    <row r="62" spans="1:3" x14ac:dyDescent="0.35">
      <c r="A62" s="59" t="str">
        <f>A26</f>
        <v xml:space="preserve">Dentistista </v>
      </c>
      <c r="B62" s="97">
        <f>B26</f>
        <v>1</v>
      </c>
      <c r="C62" s="97">
        <f>C26</f>
        <v>0</v>
      </c>
    </row>
    <row r="63" spans="1:3" x14ac:dyDescent="0.35">
      <c r="A63" s="59" t="str">
        <f>A25</f>
        <v>Privata/semiprivata</v>
      </c>
      <c r="B63" s="97">
        <f>B25</f>
        <v>1</v>
      </c>
      <c r="C63" s="97">
        <f>C25</f>
        <v>0</v>
      </c>
    </row>
    <row r="64" spans="1:3" x14ac:dyDescent="0.35">
      <c r="A64" s="59" t="str">
        <f>A24</f>
        <v xml:space="preserve">Libera scelta medici e ospedali </v>
      </c>
      <c r="B64" s="97">
        <f>B24</f>
        <v>1</v>
      </c>
      <c r="C64" s="97">
        <f>C24</f>
        <v>0</v>
      </c>
    </row>
    <row r="65" spans="1:3" x14ac:dyDescent="0.35">
      <c r="A65" s="59" t="str">
        <f>A23</f>
        <v>Base (LAMAL)</v>
      </c>
      <c r="B65" s="97">
        <f>B23</f>
        <v>1</v>
      </c>
      <c r="C65" s="97">
        <f>C23</f>
        <v>0</v>
      </c>
    </row>
  </sheetData>
  <mergeCells count="4">
    <mergeCell ref="B1:C1"/>
    <mergeCell ref="B2:C2"/>
    <mergeCell ref="B3:C3"/>
    <mergeCell ref="B4:C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FEE-51EC-4F8B-AD75-B98A9C357CD9}">
  <dimension ref="A1:C65"/>
  <sheetViews>
    <sheetView topLeftCell="A30" workbookViewId="0">
      <selection activeCell="B52" sqref="B52:C52"/>
    </sheetView>
  </sheetViews>
  <sheetFormatPr defaultColWidth="9.7265625" defaultRowHeight="15.5" x14ac:dyDescent="0.35"/>
  <cols>
    <col min="1" max="1" width="32" style="1" customWidth="1"/>
    <col min="2" max="2" width="24.26953125" style="1" customWidth="1"/>
    <col min="3" max="3" width="19.26953125" style="1" customWidth="1"/>
    <col min="4" max="16384" width="9.7265625" style="1"/>
  </cols>
  <sheetData>
    <row r="1" spans="1:3" s="2" customFormat="1" ht="13" x14ac:dyDescent="0.3">
      <c r="A1" s="50" t="s">
        <v>201</v>
      </c>
      <c r="B1" s="910">
        <f>ANALYSIS!B19</f>
        <v>0</v>
      </c>
      <c r="C1" s="910"/>
    </row>
    <row r="2" spans="1:3" s="2" customFormat="1" ht="13" x14ac:dyDescent="0.3">
      <c r="A2" s="50" t="s">
        <v>33</v>
      </c>
      <c r="B2" s="910"/>
      <c r="C2" s="910"/>
    </row>
    <row r="3" spans="1:3" s="2" customFormat="1" ht="13" x14ac:dyDescent="0.3">
      <c r="A3" s="51" t="s">
        <v>32</v>
      </c>
      <c r="B3" s="910"/>
      <c r="C3" s="910"/>
    </row>
    <row r="4" spans="1:3" s="2" customFormat="1" ht="13" x14ac:dyDescent="0.3">
      <c r="A4" s="50" t="s">
        <v>2</v>
      </c>
      <c r="B4" s="911"/>
      <c r="C4" s="911"/>
    </row>
    <row r="5" spans="1:3" s="2" customFormat="1" ht="13" x14ac:dyDescent="0.3">
      <c r="A5" s="52"/>
    </row>
    <row r="6" spans="1:3" s="2" customFormat="1" ht="13" x14ac:dyDescent="0.3"/>
    <row r="7" spans="1:3" s="2" customFormat="1" ht="13" x14ac:dyDescent="0.3">
      <c r="A7" s="59" t="s">
        <v>202</v>
      </c>
      <c r="B7" s="59" t="str">
        <f>Traduzioni!$G$227</f>
        <v>Copertura</v>
      </c>
      <c r="C7" s="59" t="str">
        <f>Traduzioni!$G$228</f>
        <v>Rischio Spese</v>
      </c>
    </row>
    <row r="8" spans="1:3" s="2" customFormat="1" ht="13" x14ac:dyDescent="0.3">
      <c r="A8" s="99" t="s">
        <v>209</v>
      </c>
      <c r="B8" s="97">
        <v>1</v>
      </c>
      <c r="C8" s="97">
        <f t="shared" ref="C8:C20" si="0">1-B8</f>
        <v>0</v>
      </c>
    </row>
    <row r="9" spans="1:3" s="2" customFormat="1" ht="13" x14ac:dyDescent="0.3">
      <c r="A9" s="59" t="str">
        <f>ANALYSIS!A122</f>
        <v xml:space="preserve">Libera scelta medici e ospedali </v>
      </c>
      <c r="B9" s="97">
        <f>ANALYSIS!B122</f>
        <v>0</v>
      </c>
      <c r="C9" s="97">
        <f t="shared" si="0"/>
        <v>1</v>
      </c>
    </row>
    <row r="10" spans="1:3" s="2" customFormat="1" ht="13" x14ac:dyDescent="0.3">
      <c r="A10" s="59" t="str">
        <f>ANALYSIS!A123</f>
        <v>Privata/semiprivata</v>
      </c>
      <c r="B10" s="97">
        <f>ANALYSIS!B123</f>
        <v>0</v>
      </c>
      <c r="C10" s="97">
        <f t="shared" si="0"/>
        <v>1</v>
      </c>
    </row>
    <row r="11" spans="1:3" s="2" customFormat="1" ht="13" x14ac:dyDescent="0.3">
      <c r="A11" s="59" t="str">
        <f>ANALYSIS!A124</f>
        <v xml:space="preserve">Dentistista </v>
      </c>
      <c r="B11" s="97">
        <f>ANALYSIS!B124</f>
        <v>0</v>
      </c>
      <c r="C11" s="97">
        <f t="shared" si="0"/>
        <v>1</v>
      </c>
    </row>
    <row r="12" spans="1:3" s="2" customFormat="1" ht="13" x14ac:dyDescent="0.3">
      <c r="A12" s="59" t="str">
        <f>ANALYSIS!A125</f>
        <v>Fitness</v>
      </c>
      <c r="B12" s="97">
        <f>ANALYSIS!B125</f>
        <v>0</v>
      </c>
      <c r="C12" s="97">
        <f>1-B12</f>
        <v>1</v>
      </c>
    </row>
    <row r="13" spans="1:3" s="2" customFormat="1" ht="13" x14ac:dyDescent="0.3">
      <c r="A13" s="59" t="str">
        <f>ANALYSIS!A126</f>
        <v xml:space="preserve">Occhiali e Lenti a contatto </v>
      </c>
      <c r="B13" s="97">
        <f>ANALYSIS!B126</f>
        <v>0</v>
      </c>
      <c r="C13" s="97">
        <f>1-B13</f>
        <v>1</v>
      </c>
    </row>
    <row r="14" spans="1:3" s="2" customFormat="1" ht="13" x14ac:dyDescent="0.3">
      <c r="A14" s="59" t="str">
        <f>ANALYSIS!A127</f>
        <v xml:space="preserve">Assistenza domiciliare </v>
      </c>
      <c r="B14" s="97">
        <f>ANALYSIS!B127</f>
        <v>0</v>
      </c>
      <c r="C14" s="97">
        <f>1-B14</f>
        <v>1</v>
      </c>
    </row>
    <row r="15" spans="1:3" s="2" customFormat="1" ht="13" x14ac:dyDescent="0.3">
      <c r="A15" s="59" t="str">
        <f>ANALYSIS!A128</f>
        <v>Chec-kup</v>
      </c>
      <c r="B15" s="97">
        <f>ANALYSIS!B128</f>
        <v>0</v>
      </c>
      <c r="C15" s="97">
        <f>1-B15</f>
        <v>1</v>
      </c>
    </row>
    <row r="16" spans="1:3" s="2" customFormat="1" ht="13" x14ac:dyDescent="0.3">
      <c r="A16" s="59" t="str">
        <f>ANALYSIS!A129</f>
        <v xml:space="preserve">Prevenzione ginecologica </v>
      </c>
      <c r="B16" s="97">
        <f>ANALYSIS!B129</f>
        <v>0</v>
      </c>
      <c r="C16" s="97">
        <f t="shared" si="0"/>
        <v>1</v>
      </c>
    </row>
    <row r="17" spans="1:3" s="2" customFormat="1" ht="13" x14ac:dyDescent="0.3">
      <c r="A17" s="59" t="str">
        <f>ANALYSIS!A130</f>
        <v xml:space="preserve">Trasporto e salvataggio </v>
      </c>
      <c r="B17" s="97">
        <f>ANALYSIS!B130</f>
        <v>0</v>
      </c>
      <c r="C17" s="97">
        <f t="shared" si="0"/>
        <v>1</v>
      </c>
    </row>
    <row r="18" spans="1:3" s="2" customFormat="1" ht="13" x14ac:dyDescent="0.3">
      <c r="A18" s="59" t="str">
        <f>ANALYSIS!A131</f>
        <v xml:space="preserve">Medicina alternativa </v>
      </c>
      <c r="B18" s="97">
        <f>ANALYSIS!B131</f>
        <v>0</v>
      </c>
      <c r="C18" s="97">
        <f t="shared" si="0"/>
        <v>1</v>
      </c>
    </row>
    <row r="19" spans="1:3" s="2" customFormat="1" ht="13" x14ac:dyDescent="0.3">
      <c r="A19" s="59" t="str">
        <f>ANALYSIS!A132</f>
        <v xml:space="preserve">Medicianli fuorilista </v>
      </c>
      <c r="B19" s="97">
        <f>ANALYSIS!B132</f>
        <v>0</v>
      </c>
      <c r="C19" s="97">
        <f t="shared" si="0"/>
        <v>1</v>
      </c>
    </row>
    <row r="20" spans="1:3" s="2" customFormat="1" ht="13" x14ac:dyDescent="0.3">
      <c r="A20" s="59" t="str">
        <f>ANALYSIS!A133</f>
        <v xml:space="preserve">Altro </v>
      </c>
      <c r="B20" s="97">
        <f>ANALYSIS!B133</f>
        <v>0</v>
      </c>
      <c r="C20" s="97">
        <f t="shared" si="0"/>
        <v>1</v>
      </c>
    </row>
    <row r="21" spans="1:3" s="2" customFormat="1" ht="13" x14ac:dyDescent="0.3">
      <c r="B21" s="98"/>
      <c r="C21" s="98"/>
    </row>
    <row r="22" spans="1:3" s="2" customFormat="1" ht="13" x14ac:dyDescent="0.3">
      <c r="A22" s="59" t="s">
        <v>205</v>
      </c>
      <c r="B22" s="97" t="str">
        <f>B7</f>
        <v>Copertura</v>
      </c>
      <c r="C22" s="97" t="str">
        <f>C7</f>
        <v>Rischio Spese</v>
      </c>
    </row>
    <row r="23" spans="1:3" s="2" customFormat="1" ht="13" x14ac:dyDescent="0.3">
      <c r="A23" s="59" t="str">
        <f t="shared" ref="A23:A35" si="1">A8</f>
        <v>Base (LAMAL)</v>
      </c>
      <c r="B23" s="97">
        <v>1</v>
      </c>
      <c r="C23" s="97">
        <f t="shared" ref="C23:C33" si="2">1-B23</f>
        <v>0</v>
      </c>
    </row>
    <row r="24" spans="1:3" s="2" customFormat="1" ht="13" x14ac:dyDescent="0.3">
      <c r="A24" s="59" t="str">
        <f t="shared" si="1"/>
        <v xml:space="preserve">Libera scelta medici e ospedali </v>
      </c>
      <c r="B24" s="97">
        <f>ANALYSIS!G122</f>
        <v>1</v>
      </c>
      <c r="C24" s="97">
        <f t="shared" si="2"/>
        <v>0</v>
      </c>
    </row>
    <row r="25" spans="1:3" s="2" customFormat="1" ht="13" x14ac:dyDescent="0.3">
      <c r="A25" s="59" t="str">
        <f t="shared" si="1"/>
        <v>Privata/semiprivata</v>
      </c>
      <c r="B25" s="97">
        <f>ANALYSIS!G123</f>
        <v>1</v>
      </c>
      <c r="C25" s="97">
        <f t="shared" si="2"/>
        <v>0</v>
      </c>
    </row>
    <row r="26" spans="1:3" s="2" customFormat="1" ht="13" x14ac:dyDescent="0.3">
      <c r="A26" s="59" t="str">
        <f t="shared" si="1"/>
        <v xml:space="preserve">Dentistista </v>
      </c>
      <c r="B26" s="97">
        <f>ANALYSIS!G124</f>
        <v>1</v>
      </c>
      <c r="C26" s="97">
        <f t="shared" si="2"/>
        <v>0</v>
      </c>
    </row>
    <row r="27" spans="1:3" s="2" customFormat="1" ht="13" x14ac:dyDescent="0.3">
      <c r="A27" s="59" t="str">
        <f t="shared" si="1"/>
        <v>Fitness</v>
      </c>
      <c r="B27" s="97">
        <f>ANALYSIS!G125</f>
        <v>1</v>
      </c>
      <c r="C27" s="97">
        <f t="shared" si="2"/>
        <v>0</v>
      </c>
    </row>
    <row r="28" spans="1:3" s="2" customFormat="1" ht="13" x14ac:dyDescent="0.3">
      <c r="A28" s="59" t="str">
        <f t="shared" si="1"/>
        <v xml:space="preserve">Occhiali e Lenti a contatto </v>
      </c>
      <c r="B28" s="97">
        <f>ANALYSIS!G126</f>
        <v>1</v>
      </c>
      <c r="C28" s="97">
        <f>1-B28</f>
        <v>0</v>
      </c>
    </row>
    <row r="29" spans="1:3" s="2" customFormat="1" ht="13" x14ac:dyDescent="0.3">
      <c r="A29" s="59" t="str">
        <f t="shared" si="1"/>
        <v xml:space="preserve">Assistenza domiciliare </v>
      </c>
      <c r="B29" s="97">
        <f>ANALYSIS!G127</f>
        <v>1</v>
      </c>
      <c r="C29" s="97">
        <f>1-B29</f>
        <v>0</v>
      </c>
    </row>
    <row r="30" spans="1:3" s="2" customFormat="1" ht="13" x14ac:dyDescent="0.3">
      <c r="A30" s="59" t="str">
        <f t="shared" si="1"/>
        <v>Chec-kup</v>
      </c>
      <c r="B30" s="97">
        <f>ANALYSIS!G128</f>
        <v>1</v>
      </c>
      <c r="C30" s="97">
        <f>1-B30</f>
        <v>0</v>
      </c>
    </row>
    <row r="31" spans="1:3" s="2" customFormat="1" ht="13" x14ac:dyDescent="0.3">
      <c r="A31" s="59" t="str">
        <f t="shared" si="1"/>
        <v xml:space="preserve">Prevenzione ginecologica </v>
      </c>
      <c r="B31" s="97">
        <f>ANALYSIS!G129</f>
        <v>1</v>
      </c>
      <c r="C31" s="97">
        <f t="shared" si="2"/>
        <v>0</v>
      </c>
    </row>
    <row r="32" spans="1:3" s="2" customFormat="1" ht="13" x14ac:dyDescent="0.3">
      <c r="A32" s="59" t="str">
        <f t="shared" si="1"/>
        <v xml:space="preserve">Trasporto e salvataggio </v>
      </c>
      <c r="B32" s="97">
        <f>ANALYSIS!G130</f>
        <v>1</v>
      </c>
      <c r="C32" s="97">
        <f t="shared" si="2"/>
        <v>0</v>
      </c>
    </row>
    <row r="33" spans="1:3" s="2" customFormat="1" ht="13" x14ac:dyDescent="0.3">
      <c r="A33" s="59" t="str">
        <f t="shared" si="1"/>
        <v xml:space="preserve">Medicina alternativa </v>
      </c>
      <c r="B33" s="97">
        <f>ANALYSIS!G131</f>
        <v>1</v>
      </c>
      <c r="C33" s="97">
        <f t="shared" si="2"/>
        <v>0</v>
      </c>
    </row>
    <row r="34" spans="1:3" s="2" customFormat="1" ht="13" x14ac:dyDescent="0.3">
      <c r="A34" s="59" t="str">
        <f t="shared" si="1"/>
        <v xml:space="preserve">Medicianli fuorilista </v>
      </c>
      <c r="B34" s="97">
        <f>ANALYSIS!G132</f>
        <v>1</v>
      </c>
      <c r="C34" s="97">
        <f>1-B34</f>
        <v>0</v>
      </c>
    </row>
    <row r="35" spans="1:3" s="2" customFormat="1" ht="13" x14ac:dyDescent="0.3">
      <c r="A35" s="59" t="str">
        <f t="shared" si="1"/>
        <v xml:space="preserve">Altro </v>
      </c>
      <c r="B35" s="97">
        <f>ANALYSIS!G133</f>
        <v>1</v>
      </c>
      <c r="C35" s="97">
        <f>1-B35</f>
        <v>0</v>
      </c>
    </row>
    <row r="36" spans="1:3" s="2" customFormat="1" ht="13" x14ac:dyDescent="0.3"/>
    <row r="37" spans="1:3" s="2" customFormat="1" ht="13" x14ac:dyDescent="0.3">
      <c r="A37" s="59" t="s">
        <v>202</v>
      </c>
      <c r="B37" s="59" t="str">
        <f>Traduzioni!$G$227</f>
        <v>Copertura</v>
      </c>
      <c r="C37" s="59" t="str">
        <f>Traduzioni!$G$228</f>
        <v>Rischio Spese</v>
      </c>
    </row>
    <row r="38" spans="1:3" s="2" customFormat="1" ht="13" x14ac:dyDescent="0.3">
      <c r="A38" s="59" t="str">
        <f>A20</f>
        <v xml:space="preserve">Altro </v>
      </c>
      <c r="B38" s="97">
        <f>B20</f>
        <v>0</v>
      </c>
      <c r="C38" s="97">
        <f>C20</f>
        <v>1</v>
      </c>
    </row>
    <row r="39" spans="1:3" s="2" customFormat="1" ht="13" x14ac:dyDescent="0.3">
      <c r="A39" s="59" t="str">
        <f>A19</f>
        <v xml:space="preserve">Medicianli fuorilista </v>
      </c>
      <c r="B39" s="97">
        <f>B19</f>
        <v>0</v>
      </c>
      <c r="C39" s="97">
        <f>C19</f>
        <v>1</v>
      </c>
    </row>
    <row r="40" spans="1:3" s="2" customFormat="1" ht="13" x14ac:dyDescent="0.3">
      <c r="A40" s="59" t="str">
        <f>A18</f>
        <v xml:space="preserve">Medicina alternativa </v>
      </c>
      <c r="B40" s="59">
        <f>B18</f>
        <v>0</v>
      </c>
      <c r="C40" s="59">
        <f>C18</f>
        <v>1</v>
      </c>
    </row>
    <row r="41" spans="1:3" s="2" customFormat="1" ht="13" x14ac:dyDescent="0.3">
      <c r="A41" s="59" t="str">
        <f>A17</f>
        <v xml:space="preserve">Trasporto e salvataggio </v>
      </c>
      <c r="B41" s="59">
        <f>B17</f>
        <v>0</v>
      </c>
      <c r="C41" s="59">
        <f>C17</f>
        <v>1</v>
      </c>
    </row>
    <row r="42" spans="1:3" s="2" customFormat="1" ht="13" x14ac:dyDescent="0.3">
      <c r="A42" s="59" t="str">
        <f>A16</f>
        <v xml:space="preserve">Prevenzione ginecologica </v>
      </c>
      <c r="B42" s="59">
        <f>B16</f>
        <v>0</v>
      </c>
      <c r="C42" s="59">
        <f>C16</f>
        <v>1</v>
      </c>
    </row>
    <row r="43" spans="1:3" s="2" customFormat="1" ht="13" x14ac:dyDescent="0.3">
      <c r="A43" s="59" t="str">
        <f>A15</f>
        <v>Chec-kup</v>
      </c>
      <c r="B43" s="97">
        <f>B15</f>
        <v>0</v>
      </c>
      <c r="C43" s="97">
        <f>C15</f>
        <v>1</v>
      </c>
    </row>
    <row r="44" spans="1:3" s="2" customFormat="1" ht="13" x14ac:dyDescent="0.3">
      <c r="A44" s="59" t="str">
        <f>A14</f>
        <v xml:space="preserve">Assistenza domiciliare </v>
      </c>
      <c r="B44" s="97">
        <f>B14</f>
        <v>0</v>
      </c>
      <c r="C44" s="97">
        <f>C14</f>
        <v>1</v>
      </c>
    </row>
    <row r="45" spans="1:3" s="2" customFormat="1" ht="13" x14ac:dyDescent="0.3">
      <c r="A45" s="59" t="str">
        <f>A13</f>
        <v xml:space="preserve">Occhiali e Lenti a contatto </v>
      </c>
      <c r="B45" s="97">
        <f>B13</f>
        <v>0</v>
      </c>
      <c r="C45" s="97">
        <f>C13</f>
        <v>1</v>
      </c>
    </row>
    <row r="46" spans="1:3" s="2" customFormat="1" ht="13" x14ac:dyDescent="0.3">
      <c r="A46" s="59" t="str">
        <f>A12</f>
        <v>Fitness</v>
      </c>
      <c r="B46" s="59">
        <f>B12</f>
        <v>0</v>
      </c>
      <c r="C46" s="59">
        <f>C12</f>
        <v>1</v>
      </c>
    </row>
    <row r="47" spans="1:3" s="2" customFormat="1" ht="13" x14ac:dyDescent="0.3">
      <c r="A47" s="59" t="str">
        <f>A11</f>
        <v xml:space="preserve">Dentistista </v>
      </c>
      <c r="B47" s="59">
        <f>B11</f>
        <v>0</v>
      </c>
      <c r="C47" s="59">
        <f>C11</f>
        <v>1</v>
      </c>
    </row>
    <row r="48" spans="1:3" x14ac:dyDescent="0.35">
      <c r="A48" s="59" t="str">
        <f>A10</f>
        <v>Privata/semiprivata</v>
      </c>
      <c r="B48" s="59">
        <f>B10</f>
        <v>0</v>
      </c>
      <c r="C48" s="59">
        <f>C10</f>
        <v>1</v>
      </c>
    </row>
    <row r="49" spans="1:3" x14ac:dyDescent="0.35">
      <c r="A49" s="59" t="str">
        <f>A9</f>
        <v xml:space="preserve">Libera scelta medici e ospedali </v>
      </c>
      <c r="B49" s="59">
        <f>B9</f>
        <v>0</v>
      </c>
      <c r="C49" s="59">
        <f>C9</f>
        <v>1</v>
      </c>
    </row>
    <row r="50" spans="1:3" x14ac:dyDescent="0.35">
      <c r="A50" s="59" t="str">
        <f>A8</f>
        <v>Base (LAMAL)</v>
      </c>
      <c r="B50" s="59">
        <f>B8</f>
        <v>1</v>
      </c>
      <c r="C50" s="59">
        <f>C8</f>
        <v>0</v>
      </c>
    </row>
    <row r="52" spans="1:3" x14ac:dyDescent="0.35">
      <c r="A52" s="59" t="str">
        <f>A22</f>
        <v>Situazione Proposta:</v>
      </c>
      <c r="B52" s="59" t="str">
        <f>Traduzioni!$G$227</f>
        <v>Copertura</v>
      </c>
      <c r="C52" s="59" t="str">
        <f>Traduzioni!$G$228</f>
        <v>Rischio Spese</v>
      </c>
    </row>
    <row r="53" spans="1:3" x14ac:dyDescent="0.35">
      <c r="A53" s="59" t="str">
        <f>A35</f>
        <v xml:space="preserve">Altro </v>
      </c>
      <c r="B53" s="97">
        <f>B35</f>
        <v>1</v>
      </c>
      <c r="C53" s="97">
        <f>C35</f>
        <v>0</v>
      </c>
    </row>
    <row r="54" spans="1:3" x14ac:dyDescent="0.35">
      <c r="A54" s="59" t="str">
        <f>A34</f>
        <v xml:space="preserve">Medicianli fuorilista </v>
      </c>
      <c r="B54" s="97">
        <f>B34</f>
        <v>1</v>
      </c>
      <c r="C54" s="97">
        <f>C34</f>
        <v>0</v>
      </c>
    </row>
    <row r="55" spans="1:3" x14ac:dyDescent="0.35">
      <c r="A55" s="59" t="str">
        <f>A33</f>
        <v xml:space="preserve">Medicina alternativa </v>
      </c>
      <c r="B55" s="97">
        <f>B33</f>
        <v>1</v>
      </c>
      <c r="C55" s="97">
        <f>C33</f>
        <v>0</v>
      </c>
    </row>
    <row r="56" spans="1:3" x14ac:dyDescent="0.35">
      <c r="A56" s="59" t="str">
        <f>A32</f>
        <v xml:space="preserve">Trasporto e salvataggio </v>
      </c>
      <c r="B56" s="97">
        <f>B32</f>
        <v>1</v>
      </c>
      <c r="C56" s="97">
        <f>C32</f>
        <v>0</v>
      </c>
    </row>
    <row r="57" spans="1:3" x14ac:dyDescent="0.35">
      <c r="A57" s="59" t="str">
        <f>A31</f>
        <v xml:space="preserve">Prevenzione ginecologica </v>
      </c>
      <c r="B57" s="97">
        <f>B31</f>
        <v>1</v>
      </c>
      <c r="C57" s="97">
        <f>C31</f>
        <v>0</v>
      </c>
    </row>
    <row r="58" spans="1:3" x14ac:dyDescent="0.35">
      <c r="A58" s="59" t="str">
        <f>A30</f>
        <v>Chec-kup</v>
      </c>
      <c r="B58" s="97">
        <f>B30</f>
        <v>1</v>
      </c>
      <c r="C58" s="97">
        <f>C30</f>
        <v>0</v>
      </c>
    </row>
    <row r="59" spans="1:3" x14ac:dyDescent="0.35">
      <c r="A59" s="59" t="str">
        <f>A29</f>
        <v xml:space="preserve">Assistenza domiciliare </v>
      </c>
      <c r="B59" s="97">
        <f>B29</f>
        <v>1</v>
      </c>
      <c r="C59" s="97">
        <f>C29</f>
        <v>0</v>
      </c>
    </row>
    <row r="60" spans="1:3" x14ac:dyDescent="0.35">
      <c r="A60" s="59" t="str">
        <f>A28</f>
        <v xml:space="preserve">Occhiali e Lenti a contatto </v>
      </c>
      <c r="B60" s="97">
        <f>B28</f>
        <v>1</v>
      </c>
      <c r="C60" s="97">
        <f>C28</f>
        <v>0</v>
      </c>
    </row>
    <row r="61" spans="1:3" x14ac:dyDescent="0.35">
      <c r="A61" s="59" t="str">
        <f>A27</f>
        <v>Fitness</v>
      </c>
      <c r="B61" s="97">
        <f>B27</f>
        <v>1</v>
      </c>
      <c r="C61" s="97">
        <f>C27</f>
        <v>0</v>
      </c>
    </row>
    <row r="62" spans="1:3" x14ac:dyDescent="0.35">
      <c r="A62" s="59" t="str">
        <f>A26</f>
        <v xml:space="preserve">Dentistista </v>
      </c>
      <c r="B62" s="97">
        <f>B26</f>
        <v>1</v>
      </c>
      <c r="C62" s="97">
        <f>C26</f>
        <v>0</v>
      </c>
    </row>
    <row r="63" spans="1:3" x14ac:dyDescent="0.35">
      <c r="A63" s="59" t="str">
        <f>A25</f>
        <v>Privata/semiprivata</v>
      </c>
      <c r="B63" s="97">
        <f>B25</f>
        <v>1</v>
      </c>
      <c r="C63" s="97">
        <f>C25</f>
        <v>0</v>
      </c>
    </row>
    <row r="64" spans="1:3" x14ac:dyDescent="0.35">
      <c r="A64" s="59" t="str">
        <f>A24</f>
        <v xml:space="preserve">Libera scelta medici e ospedali </v>
      </c>
      <c r="B64" s="97">
        <f>B24</f>
        <v>1</v>
      </c>
      <c r="C64" s="97">
        <f>C24</f>
        <v>0</v>
      </c>
    </row>
    <row r="65" spans="1:3" x14ac:dyDescent="0.35">
      <c r="A65" s="59" t="str">
        <f>A23</f>
        <v>Base (LAMAL)</v>
      </c>
      <c r="B65" s="97">
        <f>B23</f>
        <v>1</v>
      </c>
      <c r="C65" s="97">
        <f>C23</f>
        <v>0</v>
      </c>
    </row>
  </sheetData>
  <mergeCells count="4">
    <mergeCell ref="B1:C1"/>
    <mergeCell ref="B2:C2"/>
    <mergeCell ref="B3:C3"/>
    <mergeCell ref="B4:C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6696F-3083-4400-B2AE-97CEFA0E114F}">
  <dimension ref="A1:F49"/>
  <sheetViews>
    <sheetView workbookViewId="0">
      <selection activeCell="C8" sqref="C8"/>
    </sheetView>
  </sheetViews>
  <sheetFormatPr defaultRowHeight="12.5" x14ac:dyDescent="0.25"/>
  <cols>
    <col min="1" max="1" width="59.54296875" customWidth="1"/>
    <col min="2" max="2" width="19.81640625" customWidth="1"/>
    <col min="3" max="3" width="14.7265625" customWidth="1"/>
    <col min="4" max="4" width="14.453125" customWidth="1"/>
  </cols>
  <sheetData>
    <row r="1" spans="1:6" s="1" customFormat="1" ht="15.5" x14ac:dyDescent="0.35"/>
    <row r="2" spans="1:6" s="1" customFormat="1" ht="15.5" x14ac:dyDescent="0.35">
      <c r="A2" s="194" t="s">
        <v>228</v>
      </c>
      <c r="B2" s="194">
        <f>ANALYSIS!B19</f>
        <v>0</v>
      </c>
      <c r="C2" s="194">
        <f>ANALYSIS!C19</f>
        <v>0</v>
      </c>
      <c r="D2" s="194"/>
      <c r="E2" s="194"/>
      <c r="F2" s="181"/>
    </row>
    <row r="3" spans="1:6" s="1" customFormat="1" ht="15.5" x14ac:dyDescent="0.35">
      <c r="A3" s="195" t="s">
        <v>186</v>
      </c>
      <c r="B3" s="195"/>
      <c r="C3" s="195"/>
      <c r="D3" s="194"/>
      <c r="E3" s="194"/>
      <c r="F3" s="181"/>
    </row>
    <row r="4" spans="1:6" s="1" customFormat="1" ht="15.5" x14ac:dyDescent="0.35">
      <c r="A4" s="195" t="s">
        <v>187</v>
      </c>
      <c r="B4" s="195">
        <f>YEAR(ANALYSIS!B26)</f>
        <v>1900</v>
      </c>
      <c r="C4" s="195">
        <f>IF(ANALYSIS!C19="",0,YEAR(ANALYSIS!C26))</f>
        <v>0</v>
      </c>
      <c r="D4" s="194"/>
      <c r="E4" s="194"/>
      <c r="F4" s="181"/>
    </row>
    <row r="5" spans="1:6" s="1" customFormat="1" ht="15.5" x14ac:dyDescent="0.35">
      <c r="A5" s="194" t="s">
        <v>215</v>
      </c>
      <c r="B5" s="194">
        <f>IF(ANALYSIS!B21=0,0,YEAR(ANALYSIS!B21))</f>
        <v>0</v>
      </c>
      <c r="C5" s="195"/>
      <c r="D5" s="194"/>
      <c r="E5" s="194"/>
      <c r="F5" s="181"/>
    </row>
    <row r="6" spans="1:6" s="1" customFormat="1" ht="15.5" x14ac:dyDescent="0.35">
      <c r="A6" s="196">
        <f ca="1">NOW()</f>
        <v>45680.292758449075</v>
      </c>
      <c r="B6" s="195">
        <f ca="1">YEAR(A6)</f>
        <v>2025</v>
      </c>
      <c r="C6" s="195"/>
      <c r="D6" s="194"/>
      <c r="E6" s="194"/>
      <c r="F6" s="181"/>
    </row>
    <row r="7" spans="1:6" s="1" customFormat="1" ht="15.5" x14ac:dyDescent="0.35">
      <c r="A7" s="195" t="s">
        <v>188</v>
      </c>
      <c r="B7" s="195">
        <f ca="1">B6-B4*'calcoli Cliente'!B55</f>
        <v>125</v>
      </c>
      <c r="C7" s="195">
        <f>IF(ANALYSIS!C19="",0,B6-C4*'calcoli Cliente'!B55)</f>
        <v>0</v>
      </c>
      <c r="D7" s="194"/>
      <c r="E7" s="194"/>
      <c r="F7" s="181"/>
    </row>
    <row r="8" spans="1:6" s="1" customFormat="1" ht="26" x14ac:dyDescent="0.35">
      <c r="A8" s="195" t="s">
        <v>262</v>
      </c>
      <c r="B8" s="195">
        <f ca="1">65-B7</f>
        <v>-60</v>
      </c>
      <c r="C8" s="195">
        <f>65-C7</f>
        <v>65</v>
      </c>
      <c r="D8" s="195">
        <f ca="1">IF(B8&gt;C8&gt;C8,C8,B8)</f>
        <v>65</v>
      </c>
      <c r="E8" s="195" t="s">
        <v>263</v>
      </c>
      <c r="F8" s="181"/>
    </row>
    <row r="9" spans="1:6" s="1" customFormat="1" ht="15.5" x14ac:dyDescent="0.35">
      <c r="A9" s="195" t="s">
        <v>189</v>
      </c>
      <c r="B9" s="195">
        <f>ANALYSIS!B41-B4</f>
        <v>-1900</v>
      </c>
      <c r="C9" s="195">
        <f>ANALYSIS!C41-C4</f>
        <v>0</v>
      </c>
      <c r="D9" s="194"/>
      <c r="E9" s="194"/>
      <c r="F9" s="181"/>
    </row>
    <row r="10" spans="1:6" s="1" customFormat="1" ht="15.5" x14ac:dyDescent="0.35">
      <c r="A10" s="195" t="s">
        <v>190</v>
      </c>
      <c r="B10" s="195">
        <f>65-B9</f>
        <v>1965</v>
      </c>
      <c r="C10" s="195">
        <f>IF(ANALYSIS!C19="",0,65-C9)</f>
        <v>0</v>
      </c>
      <c r="D10" s="194"/>
      <c r="E10" s="194"/>
      <c r="F10" s="181"/>
    </row>
    <row r="11" spans="1:6" s="1" customFormat="1" ht="15.5" x14ac:dyDescent="0.35">
      <c r="A11" s="195" t="s">
        <v>191</v>
      </c>
      <c r="B11" s="195">
        <f>IF(B10&gt;43,44,B10)</f>
        <v>44</v>
      </c>
      <c r="C11" s="195">
        <f>IF(C10&gt;43,44,C10)</f>
        <v>0</v>
      </c>
      <c r="D11" s="194"/>
      <c r="E11" s="194"/>
      <c r="F11" s="181"/>
    </row>
    <row r="12" spans="1:6" s="1" customFormat="1" ht="15.5" x14ac:dyDescent="0.35">
      <c r="A12" s="194"/>
      <c r="B12" s="194"/>
      <c r="C12" s="194"/>
      <c r="D12" s="194"/>
      <c r="E12" s="194"/>
      <c r="F12" s="181"/>
    </row>
    <row r="13" spans="1:6" s="1" customFormat="1" ht="15.5" x14ac:dyDescent="0.35">
      <c r="A13" s="195" t="s">
        <v>211</v>
      </c>
      <c r="B13" s="195"/>
      <c r="C13" s="195"/>
      <c r="D13" s="194" t="s">
        <v>4539</v>
      </c>
      <c r="E13" s="194"/>
      <c r="F13" s="181"/>
    </row>
    <row r="14" spans="1:6" s="1" customFormat="1" ht="15.5" x14ac:dyDescent="0.35">
      <c r="A14" s="195" t="s">
        <v>212</v>
      </c>
      <c r="B14" s="195"/>
      <c r="C14" s="195">
        <f>IF(C7&gt;44,1,0)</f>
        <v>0</v>
      </c>
      <c r="D14" s="195">
        <f ca="1">IF(B7&gt;44,1,0)</f>
        <v>1</v>
      </c>
      <c r="E14" s="194"/>
      <c r="F14" s="181"/>
    </row>
    <row r="15" spans="1:6" s="1" customFormat="1" ht="15.5" x14ac:dyDescent="0.35">
      <c r="A15" s="195" t="s">
        <v>213</v>
      </c>
      <c r="B15" s="195"/>
      <c r="C15" s="195">
        <f>IF(ANALYSIS!C20=2,1,0)</f>
        <v>0</v>
      </c>
      <c r="D15" s="195">
        <f>IF(ANALYSIS!B20=2,1,0)</f>
        <v>0</v>
      </c>
      <c r="E15" s="194"/>
      <c r="F15" s="181"/>
    </row>
    <row r="16" spans="1:6" s="1" customFormat="1" ht="15.5" x14ac:dyDescent="0.35">
      <c r="A16" s="195" t="s">
        <v>214</v>
      </c>
      <c r="B16" s="195"/>
      <c r="C16" s="195">
        <f>IF((ANALYSIS!B28+ANALYSIS!C28)&gt;0,1,0)</f>
        <v>0</v>
      </c>
      <c r="D16" s="194">
        <f>C16</f>
        <v>0</v>
      </c>
      <c r="E16" s="194"/>
      <c r="F16" s="181"/>
    </row>
    <row r="17" spans="1:6" s="1" customFormat="1" ht="15.5" x14ac:dyDescent="0.35">
      <c r="A17" s="195" t="s">
        <v>216</v>
      </c>
      <c r="B17" s="195">
        <f>IF(B5&gt;0,B6-B5,0)</f>
        <v>0</v>
      </c>
      <c r="C17" s="195">
        <f>IF(B17&gt;4,1,0)</f>
        <v>0</v>
      </c>
      <c r="D17" s="194">
        <f>C17</f>
        <v>0</v>
      </c>
      <c r="E17" s="194"/>
      <c r="F17" s="181"/>
    </row>
    <row r="18" spans="1:6" s="1" customFormat="1" ht="15.5" x14ac:dyDescent="0.35">
      <c r="A18" s="195" t="s">
        <v>217</v>
      </c>
      <c r="B18" s="195" t="s">
        <v>218</v>
      </c>
      <c r="C18" s="195">
        <f>C14*C17*C15</f>
        <v>0</v>
      </c>
      <c r="D18" s="195">
        <f ca="1">D14*D17*D15</f>
        <v>0</v>
      </c>
      <c r="E18" s="194"/>
      <c r="F18" s="181"/>
    </row>
    <row r="19" spans="1:6" s="1" customFormat="1" ht="15.5" x14ac:dyDescent="0.35">
      <c r="A19" s="195"/>
      <c r="B19" s="195" t="s">
        <v>219</v>
      </c>
      <c r="C19" s="195">
        <f>C16</f>
        <v>0</v>
      </c>
      <c r="D19" s="195">
        <f>D16</f>
        <v>0</v>
      </c>
      <c r="E19" s="194"/>
      <c r="F19" s="181"/>
    </row>
    <row r="20" spans="1:6" s="1" customFormat="1" ht="15.5" x14ac:dyDescent="0.35">
      <c r="A20" s="195"/>
      <c r="B20" s="195" t="s">
        <v>220</v>
      </c>
      <c r="C20" s="195">
        <f>SUM(C18:C19)</f>
        <v>0</v>
      </c>
      <c r="D20" s="195">
        <f ca="1">SUM(D18:D19)</f>
        <v>0</v>
      </c>
      <c r="E20" s="194"/>
      <c r="F20" s="181"/>
    </row>
    <row r="21" spans="1:6" s="1" customFormat="1" ht="15.5" x14ac:dyDescent="0.35">
      <c r="A21" s="912" t="s">
        <v>222</v>
      </c>
      <c r="B21" s="912"/>
      <c r="C21" s="195">
        <f>IF(C20&gt;0,1,0)</f>
        <v>0</v>
      </c>
      <c r="D21" s="194"/>
      <c r="E21" s="194"/>
      <c r="F21" s="181"/>
    </row>
    <row r="22" spans="1:6" s="1" customFormat="1" ht="15.5" x14ac:dyDescent="0.35">
      <c r="A22" s="912" t="s">
        <v>221</v>
      </c>
      <c r="B22" s="912"/>
      <c r="C22" s="195">
        <f ca="1">IF(D20&gt;0,1,0)</f>
        <v>0</v>
      </c>
      <c r="D22" s="194"/>
      <c r="E22" s="194"/>
      <c r="F22" s="181"/>
    </row>
    <row r="23" spans="1:6" s="1" customFormat="1" ht="15.5" x14ac:dyDescent="0.35">
      <c r="A23" s="194"/>
      <c r="B23" s="194"/>
      <c r="C23" s="194"/>
      <c r="D23" s="194"/>
      <c r="E23" s="194"/>
      <c r="F23" s="181"/>
    </row>
    <row r="24" spans="1:6" s="1" customFormat="1" ht="15.5" x14ac:dyDescent="0.35">
      <c r="A24" s="195" t="s">
        <v>224</v>
      </c>
      <c r="B24" s="195"/>
      <c r="C24" s="195"/>
      <c r="D24" s="194"/>
      <c r="E24" s="194"/>
      <c r="F24" s="181"/>
    </row>
    <row r="25" spans="1:6" s="1" customFormat="1" ht="15.5" x14ac:dyDescent="0.35">
      <c r="A25" s="195" t="s">
        <v>225</v>
      </c>
      <c r="B25" s="195">
        <f ca="1">B7-B9</f>
        <v>2025</v>
      </c>
      <c r="C25" s="195">
        <f>C7-C9</f>
        <v>0</v>
      </c>
      <c r="D25" s="194"/>
      <c r="E25" s="194"/>
      <c r="F25" s="181"/>
    </row>
    <row r="26" spans="1:6" s="1" customFormat="1" ht="15.5" x14ac:dyDescent="0.35">
      <c r="A26" s="195" t="s">
        <v>226</v>
      </c>
      <c r="B26" s="195">
        <f ca="1">IF(B25&gt;4,1,0)</f>
        <v>1</v>
      </c>
      <c r="C26" s="195">
        <f>IF(C25&gt;4,1,0)</f>
        <v>0</v>
      </c>
      <c r="D26" s="194"/>
      <c r="E26" s="194"/>
      <c r="F26" s="181"/>
    </row>
    <row r="27" spans="1:6" s="1" customFormat="1" ht="15.5" x14ac:dyDescent="0.35">
      <c r="A27" s="195" t="s">
        <v>227</v>
      </c>
      <c r="B27" s="195">
        <f ca="1">ANALYSIS!B62</f>
        <v>1</v>
      </c>
      <c r="C27" s="195">
        <f>ANALYSIS!C62</f>
        <v>0</v>
      </c>
      <c r="D27" s="194"/>
      <c r="E27" s="194"/>
      <c r="F27" s="181"/>
    </row>
    <row r="28" spans="1:6" s="1" customFormat="1" ht="15.5" x14ac:dyDescent="0.35">
      <c r="A28" s="121"/>
      <c r="B28" s="121"/>
      <c r="C28" s="121"/>
      <c r="D28" s="90"/>
      <c r="E28" s="90"/>
    </row>
    <row r="29" spans="1:6" s="1" customFormat="1" ht="16" thickBot="1" x14ac:dyDescent="0.4">
      <c r="A29" s="120" t="s">
        <v>305</v>
      </c>
    </row>
    <row r="30" spans="1:6" s="1" customFormat="1" ht="15.5" x14ac:dyDescent="0.35">
      <c r="A30" s="122" t="s">
        <v>300</v>
      </c>
      <c r="B30" s="123">
        <v>22680</v>
      </c>
    </row>
    <row r="31" spans="1:6" s="1" customFormat="1" ht="15.5" x14ac:dyDescent="0.35">
      <c r="A31" s="124" t="s">
        <v>311</v>
      </c>
      <c r="B31" s="125">
        <v>26460</v>
      </c>
    </row>
    <row r="32" spans="1:6" s="1" customFormat="1" ht="15.5" x14ac:dyDescent="0.35">
      <c r="A32" s="124" t="s">
        <v>310</v>
      </c>
      <c r="B32" s="126">
        <v>6.8000000000000005E-2</v>
      </c>
    </row>
    <row r="33" spans="1:5" s="1" customFormat="1" ht="15.5" x14ac:dyDescent="0.35">
      <c r="A33" s="124" t="s">
        <v>307</v>
      </c>
      <c r="B33" s="127">
        <v>3780</v>
      </c>
    </row>
    <row r="34" spans="1:5" s="1" customFormat="1" ht="15.5" x14ac:dyDescent="0.35">
      <c r="A34" s="124" t="s">
        <v>309</v>
      </c>
      <c r="B34" s="127">
        <v>90720</v>
      </c>
    </row>
    <row r="35" spans="1:5" s="1" customFormat="1" ht="16" thickBot="1" x14ac:dyDescent="0.4">
      <c r="A35" s="128" t="s">
        <v>308</v>
      </c>
      <c r="B35" s="129">
        <f>B34-B31</f>
        <v>64260</v>
      </c>
    </row>
    <row r="36" spans="1:5" s="1" customFormat="1" ht="15.5" x14ac:dyDescent="0.35"/>
    <row r="37" spans="1:5" s="1" customFormat="1" ht="16" thickBot="1" x14ac:dyDescent="0.4"/>
    <row r="38" spans="1:5" s="1" customFormat="1" ht="16.5" customHeight="1" x14ac:dyDescent="0.35">
      <c r="A38" s="139" t="s">
        <v>328</v>
      </c>
      <c r="B38" s="140"/>
      <c r="C38" s="140"/>
      <c r="D38" s="140"/>
      <c r="E38" s="141"/>
    </row>
    <row r="39" spans="1:5" s="1" customFormat="1" ht="29.25" customHeight="1" x14ac:dyDescent="0.35">
      <c r="A39" s="142" t="s">
        <v>321</v>
      </c>
      <c r="B39" s="91" t="s">
        <v>322</v>
      </c>
      <c r="C39" s="91" t="s">
        <v>323</v>
      </c>
      <c r="D39" s="91" t="s">
        <v>324</v>
      </c>
      <c r="E39" s="113" t="s">
        <v>327</v>
      </c>
    </row>
    <row r="40" spans="1:5" s="1" customFormat="1" ht="15.75" customHeight="1" x14ac:dyDescent="0.35">
      <c r="A40" s="143">
        <f>ANALYSIS!B31</f>
        <v>0</v>
      </c>
      <c r="B40" s="91">
        <f>VLOOKUP(ANALYSIS!B149,'Sigle per Analisi'!B$65:C$68,2,FALSE)</f>
        <v>20000</v>
      </c>
      <c r="C40" s="91">
        <f>VLOOKUP(ANALYSIS!C149,'Sigle per Analisi'!B$70:C$72,2,FALSE)</f>
        <v>0</v>
      </c>
      <c r="D40" s="91">
        <f>ANALYSIS!D149</f>
        <v>0</v>
      </c>
      <c r="E40" s="113">
        <f>IF(B40=0,0,(B40+C40)*D40)</f>
        <v>0</v>
      </c>
    </row>
    <row r="41" spans="1:5" s="1" customFormat="1" ht="15.5" x14ac:dyDescent="0.35">
      <c r="A41" s="143">
        <f>ANALYSIS!B32</f>
        <v>0</v>
      </c>
      <c r="B41" s="91">
        <f>VLOOKUP(ANALYSIS!B150,'Sigle per Analisi'!B$65:C$68,2,FALSE)</f>
        <v>20000</v>
      </c>
      <c r="C41" s="91">
        <f>VLOOKUP(ANALYSIS!C150,'Sigle per Analisi'!B$70:C$71,2,FALSE)</f>
        <v>0</v>
      </c>
      <c r="D41" s="91">
        <f>ANALYSIS!D150</f>
        <v>0</v>
      </c>
      <c r="E41" s="113">
        <f>IF(B41=0,0,(B41+C41)*D41)</f>
        <v>0</v>
      </c>
    </row>
    <row r="42" spans="1:5" s="1" customFormat="1" ht="15.5" x14ac:dyDescent="0.35">
      <c r="A42" s="143">
        <f>ANALYSIS!B33</f>
        <v>0</v>
      </c>
      <c r="B42" s="91">
        <f>VLOOKUP(ANALYSIS!B151,'Sigle per Analisi'!B$65:C$68,2,FALSE)</f>
        <v>20000</v>
      </c>
      <c r="C42" s="91">
        <f>VLOOKUP(ANALYSIS!C151,'Sigle per Analisi'!B$70:C$71,2,FALSE)</f>
        <v>0</v>
      </c>
      <c r="D42" s="91">
        <f>ANALYSIS!D151</f>
        <v>0</v>
      </c>
      <c r="E42" s="113">
        <f>IF(B42=0,0,(B42+C42)*D42)</f>
        <v>0</v>
      </c>
    </row>
    <row r="43" spans="1:5" s="1" customFormat="1" ht="15.5" x14ac:dyDescent="0.35">
      <c r="A43" s="144"/>
      <c r="E43" s="145"/>
    </row>
    <row r="44" spans="1:5" s="1" customFormat="1" ht="15.5" x14ac:dyDescent="0.35">
      <c r="A44" s="146" t="s">
        <v>187</v>
      </c>
      <c r="B44" s="108" t="s">
        <v>267</v>
      </c>
      <c r="C44" s="91" t="s">
        <v>329</v>
      </c>
      <c r="D44" s="108" t="s">
        <v>330</v>
      </c>
      <c r="E44" s="145"/>
    </row>
    <row r="45" spans="1:5" s="1" customFormat="1" ht="15.5" x14ac:dyDescent="0.35">
      <c r="A45" s="146">
        <f>IF(A40=0,0,YEAR(ANALYSIS!C31))</f>
        <v>0</v>
      </c>
      <c r="B45" s="108">
        <f>IF(A40=0,0,B$6-A45)</f>
        <v>0</v>
      </c>
      <c r="C45" s="91">
        <f>20+B45</f>
        <v>20</v>
      </c>
      <c r="D45" s="108">
        <f>IF(A40=0,0,C45-B45)</f>
        <v>0</v>
      </c>
      <c r="E45" s="145"/>
    </row>
    <row r="46" spans="1:5" s="1" customFormat="1" ht="15.5" x14ac:dyDescent="0.35">
      <c r="A46" s="146">
        <f>IF(A41=0,0,YEAR(ANALYSIS!C32))</f>
        <v>0</v>
      </c>
      <c r="B46" s="108">
        <f>IF(A41=0,0,B$6-A46)</f>
        <v>0</v>
      </c>
      <c r="C46" s="91">
        <f>20+B46</f>
        <v>20</v>
      </c>
      <c r="D46" s="108">
        <f>IF(A41=0,0,C46-B46)</f>
        <v>0</v>
      </c>
      <c r="E46" s="145"/>
    </row>
    <row r="47" spans="1:5" s="1" customFormat="1" ht="16" thickBot="1" x14ac:dyDescent="0.4">
      <c r="A47" s="147">
        <f>IF(A42=0,0,YEAR(ANALYSIS!C33))</f>
        <v>0</v>
      </c>
      <c r="B47" s="148">
        <f>IF(A42=0,0,B$6-A47)</f>
        <v>0</v>
      </c>
      <c r="C47" s="91">
        <f>20+B47</f>
        <v>20</v>
      </c>
      <c r="D47" s="148">
        <f>IF(A42=0,0,C47-B47)</f>
        <v>0</v>
      </c>
      <c r="E47" s="149"/>
    </row>
    <row r="48" spans="1:5" s="1" customFormat="1" ht="15.5" x14ac:dyDescent="0.35"/>
    <row r="49" s="1" customFormat="1" ht="15.5" x14ac:dyDescent="0.35"/>
  </sheetData>
  <mergeCells count="2">
    <mergeCell ref="A21:B21"/>
    <mergeCell ref="A22:B2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6C74-BCD7-425F-9B33-81A0F115B7D2}">
  <dimension ref="A1:Q65"/>
  <sheetViews>
    <sheetView topLeftCell="A12" workbookViewId="0">
      <selection activeCell="A34" sqref="A34"/>
    </sheetView>
  </sheetViews>
  <sheetFormatPr defaultColWidth="11.54296875" defaultRowHeight="12.5" x14ac:dyDescent="0.25"/>
  <cols>
    <col min="1" max="1" width="18.7265625" customWidth="1"/>
    <col min="2" max="2" width="20.26953125" customWidth="1"/>
    <col min="3" max="3" width="26.81640625" customWidth="1"/>
    <col min="4" max="5" width="29.54296875" customWidth="1"/>
    <col min="9" max="9" width="20.7265625" customWidth="1"/>
    <col min="10" max="10" width="21.54296875" customWidth="1"/>
    <col min="11" max="11" width="28.1796875" customWidth="1"/>
    <col min="12" max="12" width="31.1796875" customWidth="1"/>
    <col min="14" max="14" width="21.453125" customWidth="1"/>
    <col min="15" max="15" width="20.7265625" customWidth="1"/>
    <col min="16" max="16" width="29" customWidth="1"/>
    <col min="17" max="17" width="33.54296875" customWidth="1"/>
    <col min="257" max="257" width="18.7265625" customWidth="1"/>
    <col min="258" max="258" width="20.26953125" customWidth="1"/>
    <col min="259" max="259" width="26.81640625" customWidth="1"/>
    <col min="260" max="261" width="29.54296875" customWidth="1"/>
    <col min="265" max="265" width="20.7265625" customWidth="1"/>
    <col min="266" max="266" width="21.54296875" customWidth="1"/>
    <col min="267" max="267" width="28.1796875" customWidth="1"/>
    <col min="268" max="268" width="31.1796875" customWidth="1"/>
    <col min="270" max="270" width="21.453125" customWidth="1"/>
    <col min="271" max="271" width="20.7265625" customWidth="1"/>
    <col min="272" max="272" width="29" customWidth="1"/>
    <col min="273" max="273" width="33.54296875" customWidth="1"/>
    <col min="513" max="513" width="18.7265625" customWidth="1"/>
    <col min="514" max="514" width="20.26953125" customWidth="1"/>
    <col min="515" max="515" width="26.81640625" customWidth="1"/>
    <col min="516" max="517" width="29.54296875" customWidth="1"/>
    <col min="521" max="521" width="20.7265625" customWidth="1"/>
    <col min="522" max="522" width="21.54296875" customWidth="1"/>
    <col min="523" max="523" width="28.1796875" customWidth="1"/>
    <col min="524" max="524" width="31.1796875" customWidth="1"/>
    <col min="526" max="526" width="21.453125" customWidth="1"/>
    <col min="527" max="527" width="20.7265625" customWidth="1"/>
    <col min="528" max="528" width="29" customWidth="1"/>
    <col min="529" max="529" width="33.54296875" customWidth="1"/>
    <col min="769" max="769" width="18.7265625" customWidth="1"/>
    <col min="770" max="770" width="20.26953125" customWidth="1"/>
    <col min="771" max="771" width="26.81640625" customWidth="1"/>
    <col min="772" max="773" width="29.54296875" customWidth="1"/>
    <col min="777" max="777" width="20.7265625" customWidth="1"/>
    <col min="778" max="778" width="21.54296875" customWidth="1"/>
    <col min="779" max="779" width="28.1796875" customWidth="1"/>
    <col min="780" max="780" width="31.1796875" customWidth="1"/>
    <col min="782" max="782" width="21.453125" customWidth="1"/>
    <col min="783" max="783" width="20.7265625" customWidth="1"/>
    <col min="784" max="784" width="29" customWidth="1"/>
    <col min="785" max="785" width="33.54296875" customWidth="1"/>
    <col min="1025" max="1025" width="18.7265625" customWidth="1"/>
    <col min="1026" max="1026" width="20.26953125" customWidth="1"/>
    <col min="1027" max="1027" width="26.81640625" customWidth="1"/>
    <col min="1028" max="1029" width="29.54296875" customWidth="1"/>
    <col min="1033" max="1033" width="20.7265625" customWidth="1"/>
    <col min="1034" max="1034" width="21.54296875" customWidth="1"/>
    <col min="1035" max="1035" width="28.1796875" customWidth="1"/>
    <col min="1036" max="1036" width="31.1796875" customWidth="1"/>
    <col min="1038" max="1038" width="21.453125" customWidth="1"/>
    <col min="1039" max="1039" width="20.7265625" customWidth="1"/>
    <col min="1040" max="1040" width="29" customWidth="1"/>
    <col min="1041" max="1041" width="33.54296875" customWidth="1"/>
    <col min="1281" max="1281" width="18.7265625" customWidth="1"/>
    <col min="1282" max="1282" width="20.26953125" customWidth="1"/>
    <col min="1283" max="1283" width="26.81640625" customWidth="1"/>
    <col min="1284" max="1285" width="29.54296875" customWidth="1"/>
    <col min="1289" max="1289" width="20.7265625" customWidth="1"/>
    <col min="1290" max="1290" width="21.54296875" customWidth="1"/>
    <col min="1291" max="1291" width="28.1796875" customWidth="1"/>
    <col min="1292" max="1292" width="31.1796875" customWidth="1"/>
    <col min="1294" max="1294" width="21.453125" customWidth="1"/>
    <col min="1295" max="1295" width="20.7265625" customWidth="1"/>
    <col min="1296" max="1296" width="29" customWidth="1"/>
    <col min="1297" max="1297" width="33.54296875" customWidth="1"/>
    <col min="1537" max="1537" width="18.7265625" customWidth="1"/>
    <col min="1538" max="1538" width="20.26953125" customWidth="1"/>
    <col min="1539" max="1539" width="26.81640625" customWidth="1"/>
    <col min="1540" max="1541" width="29.54296875" customWidth="1"/>
    <col min="1545" max="1545" width="20.7265625" customWidth="1"/>
    <col min="1546" max="1546" width="21.54296875" customWidth="1"/>
    <col min="1547" max="1547" width="28.1796875" customWidth="1"/>
    <col min="1548" max="1548" width="31.1796875" customWidth="1"/>
    <col min="1550" max="1550" width="21.453125" customWidth="1"/>
    <col min="1551" max="1551" width="20.7265625" customWidth="1"/>
    <col min="1552" max="1552" width="29" customWidth="1"/>
    <col min="1553" max="1553" width="33.54296875" customWidth="1"/>
    <col min="1793" max="1793" width="18.7265625" customWidth="1"/>
    <col min="1794" max="1794" width="20.26953125" customWidth="1"/>
    <col min="1795" max="1795" width="26.81640625" customWidth="1"/>
    <col min="1796" max="1797" width="29.54296875" customWidth="1"/>
    <col min="1801" max="1801" width="20.7265625" customWidth="1"/>
    <col min="1802" max="1802" width="21.54296875" customWidth="1"/>
    <col min="1803" max="1803" width="28.1796875" customWidth="1"/>
    <col min="1804" max="1804" width="31.1796875" customWidth="1"/>
    <col min="1806" max="1806" width="21.453125" customWidth="1"/>
    <col min="1807" max="1807" width="20.7265625" customWidth="1"/>
    <col min="1808" max="1808" width="29" customWidth="1"/>
    <col min="1809" max="1809" width="33.54296875" customWidth="1"/>
    <col min="2049" max="2049" width="18.7265625" customWidth="1"/>
    <col min="2050" max="2050" width="20.26953125" customWidth="1"/>
    <col min="2051" max="2051" width="26.81640625" customWidth="1"/>
    <col min="2052" max="2053" width="29.54296875" customWidth="1"/>
    <col min="2057" max="2057" width="20.7265625" customWidth="1"/>
    <col min="2058" max="2058" width="21.54296875" customWidth="1"/>
    <col min="2059" max="2059" width="28.1796875" customWidth="1"/>
    <col min="2060" max="2060" width="31.1796875" customWidth="1"/>
    <col min="2062" max="2062" width="21.453125" customWidth="1"/>
    <col min="2063" max="2063" width="20.7265625" customWidth="1"/>
    <col min="2064" max="2064" width="29" customWidth="1"/>
    <col min="2065" max="2065" width="33.54296875" customWidth="1"/>
    <col min="2305" max="2305" width="18.7265625" customWidth="1"/>
    <col min="2306" max="2306" width="20.26953125" customWidth="1"/>
    <col min="2307" max="2307" width="26.81640625" customWidth="1"/>
    <col min="2308" max="2309" width="29.54296875" customWidth="1"/>
    <col min="2313" max="2313" width="20.7265625" customWidth="1"/>
    <col min="2314" max="2314" width="21.54296875" customWidth="1"/>
    <col min="2315" max="2315" width="28.1796875" customWidth="1"/>
    <col min="2316" max="2316" width="31.1796875" customWidth="1"/>
    <col min="2318" max="2318" width="21.453125" customWidth="1"/>
    <col min="2319" max="2319" width="20.7265625" customWidth="1"/>
    <col min="2320" max="2320" width="29" customWidth="1"/>
    <col min="2321" max="2321" width="33.54296875" customWidth="1"/>
    <col min="2561" max="2561" width="18.7265625" customWidth="1"/>
    <col min="2562" max="2562" width="20.26953125" customWidth="1"/>
    <col min="2563" max="2563" width="26.81640625" customWidth="1"/>
    <col min="2564" max="2565" width="29.54296875" customWidth="1"/>
    <col min="2569" max="2569" width="20.7265625" customWidth="1"/>
    <col min="2570" max="2570" width="21.54296875" customWidth="1"/>
    <col min="2571" max="2571" width="28.1796875" customWidth="1"/>
    <col min="2572" max="2572" width="31.1796875" customWidth="1"/>
    <col min="2574" max="2574" width="21.453125" customWidth="1"/>
    <col min="2575" max="2575" width="20.7265625" customWidth="1"/>
    <col min="2576" max="2576" width="29" customWidth="1"/>
    <col min="2577" max="2577" width="33.54296875" customWidth="1"/>
    <col min="2817" max="2817" width="18.7265625" customWidth="1"/>
    <col min="2818" max="2818" width="20.26953125" customWidth="1"/>
    <col min="2819" max="2819" width="26.81640625" customWidth="1"/>
    <col min="2820" max="2821" width="29.54296875" customWidth="1"/>
    <col min="2825" max="2825" width="20.7265625" customWidth="1"/>
    <col min="2826" max="2826" width="21.54296875" customWidth="1"/>
    <col min="2827" max="2827" width="28.1796875" customWidth="1"/>
    <col min="2828" max="2828" width="31.1796875" customWidth="1"/>
    <col min="2830" max="2830" width="21.453125" customWidth="1"/>
    <col min="2831" max="2831" width="20.7265625" customWidth="1"/>
    <col min="2832" max="2832" width="29" customWidth="1"/>
    <col min="2833" max="2833" width="33.54296875" customWidth="1"/>
    <col min="3073" max="3073" width="18.7265625" customWidth="1"/>
    <col min="3074" max="3074" width="20.26953125" customWidth="1"/>
    <col min="3075" max="3075" width="26.81640625" customWidth="1"/>
    <col min="3076" max="3077" width="29.54296875" customWidth="1"/>
    <col min="3081" max="3081" width="20.7265625" customWidth="1"/>
    <col min="3082" max="3082" width="21.54296875" customWidth="1"/>
    <col min="3083" max="3083" width="28.1796875" customWidth="1"/>
    <col min="3084" max="3084" width="31.1796875" customWidth="1"/>
    <col min="3086" max="3086" width="21.453125" customWidth="1"/>
    <col min="3087" max="3087" width="20.7265625" customWidth="1"/>
    <col min="3088" max="3088" width="29" customWidth="1"/>
    <col min="3089" max="3089" width="33.54296875" customWidth="1"/>
    <col min="3329" max="3329" width="18.7265625" customWidth="1"/>
    <col min="3330" max="3330" width="20.26953125" customWidth="1"/>
    <col min="3331" max="3331" width="26.81640625" customWidth="1"/>
    <col min="3332" max="3333" width="29.54296875" customWidth="1"/>
    <col min="3337" max="3337" width="20.7265625" customWidth="1"/>
    <col min="3338" max="3338" width="21.54296875" customWidth="1"/>
    <col min="3339" max="3339" width="28.1796875" customWidth="1"/>
    <col min="3340" max="3340" width="31.1796875" customWidth="1"/>
    <col min="3342" max="3342" width="21.453125" customWidth="1"/>
    <col min="3343" max="3343" width="20.7265625" customWidth="1"/>
    <col min="3344" max="3344" width="29" customWidth="1"/>
    <col min="3345" max="3345" width="33.54296875" customWidth="1"/>
    <col min="3585" max="3585" width="18.7265625" customWidth="1"/>
    <col min="3586" max="3586" width="20.26953125" customWidth="1"/>
    <col min="3587" max="3587" width="26.81640625" customWidth="1"/>
    <col min="3588" max="3589" width="29.54296875" customWidth="1"/>
    <col min="3593" max="3593" width="20.7265625" customWidth="1"/>
    <col min="3594" max="3594" width="21.54296875" customWidth="1"/>
    <col min="3595" max="3595" width="28.1796875" customWidth="1"/>
    <col min="3596" max="3596" width="31.1796875" customWidth="1"/>
    <col min="3598" max="3598" width="21.453125" customWidth="1"/>
    <col min="3599" max="3599" width="20.7265625" customWidth="1"/>
    <col min="3600" max="3600" width="29" customWidth="1"/>
    <col min="3601" max="3601" width="33.54296875" customWidth="1"/>
    <col min="3841" max="3841" width="18.7265625" customWidth="1"/>
    <col min="3842" max="3842" width="20.26953125" customWidth="1"/>
    <col min="3843" max="3843" width="26.81640625" customWidth="1"/>
    <col min="3844" max="3845" width="29.54296875" customWidth="1"/>
    <col min="3849" max="3849" width="20.7265625" customWidth="1"/>
    <col min="3850" max="3850" width="21.54296875" customWidth="1"/>
    <col min="3851" max="3851" width="28.1796875" customWidth="1"/>
    <col min="3852" max="3852" width="31.1796875" customWidth="1"/>
    <col min="3854" max="3854" width="21.453125" customWidth="1"/>
    <col min="3855" max="3855" width="20.7265625" customWidth="1"/>
    <col min="3856" max="3856" width="29" customWidth="1"/>
    <col min="3857" max="3857" width="33.54296875" customWidth="1"/>
    <col min="4097" max="4097" width="18.7265625" customWidth="1"/>
    <col min="4098" max="4098" width="20.26953125" customWidth="1"/>
    <col min="4099" max="4099" width="26.81640625" customWidth="1"/>
    <col min="4100" max="4101" width="29.54296875" customWidth="1"/>
    <col min="4105" max="4105" width="20.7265625" customWidth="1"/>
    <col min="4106" max="4106" width="21.54296875" customWidth="1"/>
    <col min="4107" max="4107" width="28.1796875" customWidth="1"/>
    <col min="4108" max="4108" width="31.1796875" customWidth="1"/>
    <col min="4110" max="4110" width="21.453125" customWidth="1"/>
    <col min="4111" max="4111" width="20.7265625" customWidth="1"/>
    <col min="4112" max="4112" width="29" customWidth="1"/>
    <col min="4113" max="4113" width="33.54296875" customWidth="1"/>
    <col min="4353" max="4353" width="18.7265625" customWidth="1"/>
    <col min="4354" max="4354" width="20.26953125" customWidth="1"/>
    <col min="4355" max="4355" width="26.81640625" customWidth="1"/>
    <col min="4356" max="4357" width="29.54296875" customWidth="1"/>
    <col min="4361" max="4361" width="20.7265625" customWidth="1"/>
    <col min="4362" max="4362" width="21.54296875" customWidth="1"/>
    <col min="4363" max="4363" width="28.1796875" customWidth="1"/>
    <col min="4364" max="4364" width="31.1796875" customWidth="1"/>
    <col min="4366" max="4366" width="21.453125" customWidth="1"/>
    <col min="4367" max="4367" width="20.7265625" customWidth="1"/>
    <col min="4368" max="4368" width="29" customWidth="1"/>
    <col min="4369" max="4369" width="33.54296875" customWidth="1"/>
    <col min="4609" max="4609" width="18.7265625" customWidth="1"/>
    <col min="4610" max="4610" width="20.26953125" customWidth="1"/>
    <col min="4611" max="4611" width="26.81640625" customWidth="1"/>
    <col min="4612" max="4613" width="29.54296875" customWidth="1"/>
    <col min="4617" max="4617" width="20.7265625" customWidth="1"/>
    <col min="4618" max="4618" width="21.54296875" customWidth="1"/>
    <col min="4619" max="4619" width="28.1796875" customWidth="1"/>
    <col min="4620" max="4620" width="31.1796875" customWidth="1"/>
    <col min="4622" max="4622" width="21.453125" customWidth="1"/>
    <col min="4623" max="4623" width="20.7265625" customWidth="1"/>
    <col min="4624" max="4624" width="29" customWidth="1"/>
    <col min="4625" max="4625" width="33.54296875" customWidth="1"/>
    <col min="4865" max="4865" width="18.7265625" customWidth="1"/>
    <col min="4866" max="4866" width="20.26953125" customWidth="1"/>
    <col min="4867" max="4867" width="26.81640625" customWidth="1"/>
    <col min="4868" max="4869" width="29.54296875" customWidth="1"/>
    <col min="4873" max="4873" width="20.7265625" customWidth="1"/>
    <col min="4874" max="4874" width="21.54296875" customWidth="1"/>
    <col min="4875" max="4875" width="28.1796875" customWidth="1"/>
    <col min="4876" max="4876" width="31.1796875" customWidth="1"/>
    <col min="4878" max="4878" width="21.453125" customWidth="1"/>
    <col min="4879" max="4879" width="20.7265625" customWidth="1"/>
    <col min="4880" max="4880" width="29" customWidth="1"/>
    <col min="4881" max="4881" width="33.54296875" customWidth="1"/>
    <col min="5121" max="5121" width="18.7265625" customWidth="1"/>
    <col min="5122" max="5122" width="20.26953125" customWidth="1"/>
    <col min="5123" max="5123" width="26.81640625" customWidth="1"/>
    <col min="5124" max="5125" width="29.54296875" customWidth="1"/>
    <col min="5129" max="5129" width="20.7265625" customWidth="1"/>
    <col min="5130" max="5130" width="21.54296875" customWidth="1"/>
    <col min="5131" max="5131" width="28.1796875" customWidth="1"/>
    <col min="5132" max="5132" width="31.1796875" customWidth="1"/>
    <col min="5134" max="5134" width="21.453125" customWidth="1"/>
    <col min="5135" max="5135" width="20.7265625" customWidth="1"/>
    <col min="5136" max="5136" width="29" customWidth="1"/>
    <col min="5137" max="5137" width="33.54296875" customWidth="1"/>
    <col min="5377" max="5377" width="18.7265625" customWidth="1"/>
    <col min="5378" max="5378" width="20.26953125" customWidth="1"/>
    <col min="5379" max="5379" width="26.81640625" customWidth="1"/>
    <col min="5380" max="5381" width="29.54296875" customWidth="1"/>
    <col min="5385" max="5385" width="20.7265625" customWidth="1"/>
    <col min="5386" max="5386" width="21.54296875" customWidth="1"/>
    <col min="5387" max="5387" width="28.1796875" customWidth="1"/>
    <col min="5388" max="5388" width="31.1796875" customWidth="1"/>
    <col min="5390" max="5390" width="21.453125" customWidth="1"/>
    <col min="5391" max="5391" width="20.7265625" customWidth="1"/>
    <col min="5392" max="5392" width="29" customWidth="1"/>
    <col min="5393" max="5393" width="33.54296875" customWidth="1"/>
    <col min="5633" max="5633" width="18.7265625" customWidth="1"/>
    <col min="5634" max="5634" width="20.26953125" customWidth="1"/>
    <col min="5635" max="5635" width="26.81640625" customWidth="1"/>
    <col min="5636" max="5637" width="29.54296875" customWidth="1"/>
    <col min="5641" max="5641" width="20.7265625" customWidth="1"/>
    <col min="5642" max="5642" width="21.54296875" customWidth="1"/>
    <col min="5643" max="5643" width="28.1796875" customWidth="1"/>
    <col min="5644" max="5644" width="31.1796875" customWidth="1"/>
    <col min="5646" max="5646" width="21.453125" customWidth="1"/>
    <col min="5647" max="5647" width="20.7265625" customWidth="1"/>
    <col min="5648" max="5648" width="29" customWidth="1"/>
    <col min="5649" max="5649" width="33.54296875" customWidth="1"/>
    <col min="5889" max="5889" width="18.7265625" customWidth="1"/>
    <col min="5890" max="5890" width="20.26953125" customWidth="1"/>
    <col min="5891" max="5891" width="26.81640625" customWidth="1"/>
    <col min="5892" max="5893" width="29.54296875" customWidth="1"/>
    <col min="5897" max="5897" width="20.7265625" customWidth="1"/>
    <col min="5898" max="5898" width="21.54296875" customWidth="1"/>
    <col min="5899" max="5899" width="28.1796875" customWidth="1"/>
    <col min="5900" max="5900" width="31.1796875" customWidth="1"/>
    <col min="5902" max="5902" width="21.453125" customWidth="1"/>
    <col min="5903" max="5903" width="20.7265625" customWidth="1"/>
    <col min="5904" max="5904" width="29" customWidth="1"/>
    <col min="5905" max="5905" width="33.54296875" customWidth="1"/>
    <col min="6145" max="6145" width="18.7265625" customWidth="1"/>
    <col min="6146" max="6146" width="20.26953125" customWidth="1"/>
    <col min="6147" max="6147" width="26.81640625" customWidth="1"/>
    <col min="6148" max="6149" width="29.54296875" customWidth="1"/>
    <col min="6153" max="6153" width="20.7265625" customWidth="1"/>
    <col min="6154" max="6154" width="21.54296875" customWidth="1"/>
    <col min="6155" max="6155" width="28.1796875" customWidth="1"/>
    <col min="6156" max="6156" width="31.1796875" customWidth="1"/>
    <col min="6158" max="6158" width="21.453125" customWidth="1"/>
    <col min="6159" max="6159" width="20.7265625" customWidth="1"/>
    <col min="6160" max="6160" width="29" customWidth="1"/>
    <col min="6161" max="6161" width="33.54296875" customWidth="1"/>
    <col min="6401" max="6401" width="18.7265625" customWidth="1"/>
    <col min="6402" max="6402" width="20.26953125" customWidth="1"/>
    <col min="6403" max="6403" width="26.81640625" customWidth="1"/>
    <col min="6404" max="6405" width="29.54296875" customWidth="1"/>
    <col min="6409" max="6409" width="20.7265625" customWidth="1"/>
    <col min="6410" max="6410" width="21.54296875" customWidth="1"/>
    <col min="6411" max="6411" width="28.1796875" customWidth="1"/>
    <col min="6412" max="6412" width="31.1796875" customWidth="1"/>
    <col min="6414" max="6414" width="21.453125" customWidth="1"/>
    <col min="6415" max="6415" width="20.7265625" customWidth="1"/>
    <col min="6416" max="6416" width="29" customWidth="1"/>
    <col min="6417" max="6417" width="33.54296875" customWidth="1"/>
    <col min="6657" max="6657" width="18.7265625" customWidth="1"/>
    <col min="6658" max="6658" width="20.26953125" customWidth="1"/>
    <col min="6659" max="6659" width="26.81640625" customWidth="1"/>
    <col min="6660" max="6661" width="29.54296875" customWidth="1"/>
    <col min="6665" max="6665" width="20.7265625" customWidth="1"/>
    <col min="6666" max="6666" width="21.54296875" customWidth="1"/>
    <col min="6667" max="6667" width="28.1796875" customWidth="1"/>
    <col min="6668" max="6668" width="31.1796875" customWidth="1"/>
    <col min="6670" max="6670" width="21.453125" customWidth="1"/>
    <col min="6671" max="6671" width="20.7265625" customWidth="1"/>
    <col min="6672" max="6672" width="29" customWidth="1"/>
    <col min="6673" max="6673" width="33.54296875" customWidth="1"/>
    <col min="6913" max="6913" width="18.7265625" customWidth="1"/>
    <col min="6914" max="6914" width="20.26953125" customWidth="1"/>
    <col min="6915" max="6915" width="26.81640625" customWidth="1"/>
    <col min="6916" max="6917" width="29.54296875" customWidth="1"/>
    <col min="6921" max="6921" width="20.7265625" customWidth="1"/>
    <col min="6922" max="6922" width="21.54296875" customWidth="1"/>
    <col min="6923" max="6923" width="28.1796875" customWidth="1"/>
    <col min="6924" max="6924" width="31.1796875" customWidth="1"/>
    <col min="6926" max="6926" width="21.453125" customWidth="1"/>
    <col min="6927" max="6927" width="20.7265625" customWidth="1"/>
    <col min="6928" max="6928" width="29" customWidth="1"/>
    <col min="6929" max="6929" width="33.54296875" customWidth="1"/>
    <col min="7169" max="7169" width="18.7265625" customWidth="1"/>
    <col min="7170" max="7170" width="20.26953125" customWidth="1"/>
    <col min="7171" max="7171" width="26.81640625" customWidth="1"/>
    <col min="7172" max="7173" width="29.54296875" customWidth="1"/>
    <col min="7177" max="7177" width="20.7265625" customWidth="1"/>
    <col min="7178" max="7178" width="21.54296875" customWidth="1"/>
    <col min="7179" max="7179" width="28.1796875" customWidth="1"/>
    <col min="7180" max="7180" width="31.1796875" customWidth="1"/>
    <col min="7182" max="7182" width="21.453125" customWidth="1"/>
    <col min="7183" max="7183" width="20.7265625" customWidth="1"/>
    <col min="7184" max="7184" width="29" customWidth="1"/>
    <col min="7185" max="7185" width="33.54296875" customWidth="1"/>
    <col min="7425" max="7425" width="18.7265625" customWidth="1"/>
    <col min="7426" max="7426" width="20.26953125" customWidth="1"/>
    <col min="7427" max="7427" width="26.81640625" customWidth="1"/>
    <col min="7428" max="7429" width="29.54296875" customWidth="1"/>
    <col min="7433" max="7433" width="20.7265625" customWidth="1"/>
    <col min="7434" max="7434" width="21.54296875" customWidth="1"/>
    <col min="7435" max="7435" width="28.1796875" customWidth="1"/>
    <col min="7436" max="7436" width="31.1796875" customWidth="1"/>
    <col min="7438" max="7438" width="21.453125" customWidth="1"/>
    <col min="7439" max="7439" width="20.7265625" customWidth="1"/>
    <col min="7440" max="7440" width="29" customWidth="1"/>
    <col min="7441" max="7441" width="33.54296875" customWidth="1"/>
    <col min="7681" max="7681" width="18.7265625" customWidth="1"/>
    <col min="7682" max="7682" width="20.26953125" customWidth="1"/>
    <col min="7683" max="7683" width="26.81640625" customWidth="1"/>
    <col min="7684" max="7685" width="29.54296875" customWidth="1"/>
    <col min="7689" max="7689" width="20.7265625" customWidth="1"/>
    <col min="7690" max="7690" width="21.54296875" customWidth="1"/>
    <col min="7691" max="7691" width="28.1796875" customWidth="1"/>
    <col min="7692" max="7692" width="31.1796875" customWidth="1"/>
    <col min="7694" max="7694" width="21.453125" customWidth="1"/>
    <col min="7695" max="7695" width="20.7265625" customWidth="1"/>
    <col min="7696" max="7696" width="29" customWidth="1"/>
    <col min="7697" max="7697" width="33.54296875" customWidth="1"/>
    <col min="7937" max="7937" width="18.7265625" customWidth="1"/>
    <col min="7938" max="7938" width="20.26953125" customWidth="1"/>
    <col min="7939" max="7939" width="26.81640625" customWidth="1"/>
    <col min="7940" max="7941" width="29.54296875" customWidth="1"/>
    <col min="7945" max="7945" width="20.7265625" customWidth="1"/>
    <col min="7946" max="7946" width="21.54296875" customWidth="1"/>
    <col min="7947" max="7947" width="28.1796875" customWidth="1"/>
    <col min="7948" max="7948" width="31.1796875" customWidth="1"/>
    <col min="7950" max="7950" width="21.453125" customWidth="1"/>
    <col min="7951" max="7951" width="20.7265625" customWidth="1"/>
    <col min="7952" max="7952" width="29" customWidth="1"/>
    <col min="7953" max="7953" width="33.54296875" customWidth="1"/>
    <col min="8193" max="8193" width="18.7265625" customWidth="1"/>
    <col min="8194" max="8194" width="20.26953125" customWidth="1"/>
    <col min="8195" max="8195" width="26.81640625" customWidth="1"/>
    <col min="8196" max="8197" width="29.54296875" customWidth="1"/>
    <col min="8201" max="8201" width="20.7265625" customWidth="1"/>
    <col min="8202" max="8202" width="21.54296875" customWidth="1"/>
    <col min="8203" max="8203" width="28.1796875" customWidth="1"/>
    <col min="8204" max="8204" width="31.1796875" customWidth="1"/>
    <col min="8206" max="8206" width="21.453125" customWidth="1"/>
    <col min="8207" max="8207" width="20.7265625" customWidth="1"/>
    <col min="8208" max="8208" width="29" customWidth="1"/>
    <col min="8209" max="8209" width="33.54296875" customWidth="1"/>
    <col min="8449" max="8449" width="18.7265625" customWidth="1"/>
    <col min="8450" max="8450" width="20.26953125" customWidth="1"/>
    <col min="8451" max="8451" width="26.81640625" customWidth="1"/>
    <col min="8452" max="8453" width="29.54296875" customWidth="1"/>
    <col min="8457" max="8457" width="20.7265625" customWidth="1"/>
    <col min="8458" max="8458" width="21.54296875" customWidth="1"/>
    <col min="8459" max="8459" width="28.1796875" customWidth="1"/>
    <col min="8460" max="8460" width="31.1796875" customWidth="1"/>
    <col min="8462" max="8462" width="21.453125" customWidth="1"/>
    <col min="8463" max="8463" width="20.7265625" customWidth="1"/>
    <col min="8464" max="8464" width="29" customWidth="1"/>
    <col min="8465" max="8465" width="33.54296875" customWidth="1"/>
    <col min="8705" max="8705" width="18.7265625" customWidth="1"/>
    <col min="8706" max="8706" width="20.26953125" customWidth="1"/>
    <col min="8707" max="8707" width="26.81640625" customWidth="1"/>
    <col min="8708" max="8709" width="29.54296875" customWidth="1"/>
    <col min="8713" max="8713" width="20.7265625" customWidth="1"/>
    <col min="8714" max="8714" width="21.54296875" customWidth="1"/>
    <col min="8715" max="8715" width="28.1796875" customWidth="1"/>
    <col min="8716" max="8716" width="31.1796875" customWidth="1"/>
    <col min="8718" max="8718" width="21.453125" customWidth="1"/>
    <col min="8719" max="8719" width="20.7265625" customWidth="1"/>
    <col min="8720" max="8720" width="29" customWidth="1"/>
    <col min="8721" max="8721" width="33.54296875" customWidth="1"/>
    <col min="8961" max="8961" width="18.7265625" customWidth="1"/>
    <col min="8962" max="8962" width="20.26953125" customWidth="1"/>
    <col min="8963" max="8963" width="26.81640625" customWidth="1"/>
    <col min="8964" max="8965" width="29.54296875" customWidth="1"/>
    <col min="8969" max="8969" width="20.7265625" customWidth="1"/>
    <col min="8970" max="8970" width="21.54296875" customWidth="1"/>
    <col min="8971" max="8971" width="28.1796875" customWidth="1"/>
    <col min="8972" max="8972" width="31.1796875" customWidth="1"/>
    <col min="8974" max="8974" width="21.453125" customWidth="1"/>
    <col min="8975" max="8975" width="20.7265625" customWidth="1"/>
    <col min="8976" max="8976" width="29" customWidth="1"/>
    <col min="8977" max="8977" width="33.54296875" customWidth="1"/>
    <col min="9217" max="9217" width="18.7265625" customWidth="1"/>
    <col min="9218" max="9218" width="20.26953125" customWidth="1"/>
    <col min="9219" max="9219" width="26.81640625" customWidth="1"/>
    <col min="9220" max="9221" width="29.54296875" customWidth="1"/>
    <col min="9225" max="9225" width="20.7265625" customWidth="1"/>
    <col min="9226" max="9226" width="21.54296875" customWidth="1"/>
    <col min="9227" max="9227" width="28.1796875" customWidth="1"/>
    <col min="9228" max="9228" width="31.1796875" customWidth="1"/>
    <col min="9230" max="9230" width="21.453125" customWidth="1"/>
    <col min="9231" max="9231" width="20.7265625" customWidth="1"/>
    <col min="9232" max="9232" width="29" customWidth="1"/>
    <col min="9233" max="9233" width="33.54296875" customWidth="1"/>
    <col min="9473" max="9473" width="18.7265625" customWidth="1"/>
    <col min="9474" max="9474" width="20.26953125" customWidth="1"/>
    <col min="9475" max="9475" width="26.81640625" customWidth="1"/>
    <col min="9476" max="9477" width="29.54296875" customWidth="1"/>
    <col min="9481" max="9481" width="20.7265625" customWidth="1"/>
    <col min="9482" max="9482" width="21.54296875" customWidth="1"/>
    <col min="9483" max="9483" width="28.1796875" customWidth="1"/>
    <col min="9484" max="9484" width="31.1796875" customWidth="1"/>
    <col min="9486" max="9486" width="21.453125" customWidth="1"/>
    <col min="9487" max="9487" width="20.7265625" customWidth="1"/>
    <col min="9488" max="9488" width="29" customWidth="1"/>
    <col min="9489" max="9489" width="33.54296875" customWidth="1"/>
    <col min="9729" max="9729" width="18.7265625" customWidth="1"/>
    <col min="9730" max="9730" width="20.26953125" customWidth="1"/>
    <col min="9731" max="9731" width="26.81640625" customWidth="1"/>
    <col min="9732" max="9733" width="29.54296875" customWidth="1"/>
    <col min="9737" max="9737" width="20.7265625" customWidth="1"/>
    <col min="9738" max="9738" width="21.54296875" customWidth="1"/>
    <col min="9739" max="9739" width="28.1796875" customWidth="1"/>
    <col min="9740" max="9740" width="31.1796875" customWidth="1"/>
    <col min="9742" max="9742" width="21.453125" customWidth="1"/>
    <col min="9743" max="9743" width="20.7265625" customWidth="1"/>
    <col min="9744" max="9744" width="29" customWidth="1"/>
    <col min="9745" max="9745" width="33.54296875" customWidth="1"/>
    <col min="9985" max="9985" width="18.7265625" customWidth="1"/>
    <col min="9986" max="9986" width="20.26953125" customWidth="1"/>
    <col min="9987" max="9987" width="26.81640625" customWidth="1"/>
    <col min="9988" max="9989" width="29.54296875" customWidth="1"/>
    <col min="9993" max="9993" width="20.7265625" customWidth="1"/>
    <col min="9994" max="9994" width="21.54296875" customWidth="1"/>
    <col min="9995" max="9995" width="28.1796875" customWidth="1"/>
    <col min="9996" max="9996" width="31.1796875" customWidth="1"/>
    <col min="9998" max="9998" width="21.453125" customWidth="1"/>
    <col min="9999" max="9999" width="20.7265625" customWidth="1"/>
    <col min="10000" max="10000" width="29" customWidth="1"/>
    <col min="10001" max="10001" width="33.54296875" customWidth="1"/>
    <col min="10241" max="10241" width="18.7265625" customWidth="1"/>
    <col min="10242" max="10242" width="20.26953125" customWidth="1"/>
    <col min="10243" max="10243" width="26.81640625" customWidth="1"/>
    <col min="10244" max="10245" width="29.54296875" customWidth="1"/>
    <col min="10249" max="10249" width="20.7265625" customWidth="1"/>
    <col min="10250" max="10250" width="21.54296875" customWidth="1"/>
    <col min="10251" max="10251" width="28.1796875" customWidth="1"/>
    <col min="10252" max="10252" width="31.1796875" customWidth="1"/>
    <col min="10254" max="10254" width="21.453125" customWidth="1"/>
    <col min="10255" max="10255" width="20.7265625" customWidth="1"/>
    <col min="10256" max="10256" width="29" customWidth="1"/>
    <col min="10257" max="10257" width="33.54296875" customWidth="1"/>
    <col min="10497" max="10497" width="18.7265625" customWidth="1"/>
    <col min="10498" max="10498" width="20.26953125" customWidth="1"/>
    <col min="10499" max="10499" width="26.81640625" customWidth="1"/>
    <col min="10500" max="10501" width="29.54296875" customWidth="1"/>
    <col min="10505" max="10505" width="20.7265625" customWidth="1"/>
    <col min="10506" max="10506" width="21.54296875" customWidth="1"/>
    <col min="10507" max="10507" width="28.1796875" customWidth="1"/>
    <col min="10508" max="10508" width="31.1796875" customWidth="1"/>
    <col min="10510" max="10510" width="21.453125" customWidth="1"/>
    <col min="10511" max="10511" width="20.7265625" customWidth="1"/>
    <col min="10512" max="10512" width="29" customWidth="1"/>
    <col min="10513" max="10513" width="33.54296875" customWidth="1"/>
    <col min="10753" max="10753" width="18.7265625" customWidth="1"/>
    <col min="10754" max="10754" width="20.26953125" customWidth="1"/>
    <col min="10755" max="10755" width="26.81640625" customWidth="1"/>
    <col min="10756" max="10757" width="29.54296875" customWidth="1"/>
    <col min="10761" max="10761" width="20.7265625" customWidth="1"/>
    <col min="10762" max="10762" width="21.54296875" customWidth="1"/>
    <col min="10763" max="10763" width="28.1796875" customWidth="1"/>
    <col min="10764" max="10764" width="31.1796875" customWidth="1"/>
    <col min="10766" max="10766" width="21.453125" customWidth="1"/>
    <col min="10767" max="10767" width="20.7265625" customWidth="1"/>
    <col min="10768" max="10768" width="29" customWidth="1"/>
    <col min="10769" max="10769" width="33.54296875" customWidth="1"/>
    <col min="11009" max="11009" width="18.7265625" customWidth="1"/>
    <col min="11010" max="11010" width="20.26953125" customWidth="1"/>
    <col min="11011" max="11011" width="26.81640625" customWidth="1"/>
    <col min="11012" max="11013" width="29.54296875" customWidth="1"/>
    <col min="11017" max="11017" width="20.7265625" customWidth="1"/>
    <col min="11018" max="11018" width="21.54296875" customWidth="1"/>
    <col min="11019" max="11019" width="28.1796875" customWidth="1"/>
    <col min="11020" max="11020" width="31.1796875" customWidth="1"/>
    <col min="11022" max="11022" width="21.453125" customWidth="1"/>
    <col min="11023" max="11023" width="20.7265625" customWidth="1"/>
    <col min="11024" max="11024" width="29" customWidth="1"/>
    <col min="11025" max="11025" width="33.54296875" customWidth="1"/>
    <col min="11265" max="11265" width="18.7265625" customWidth="1"/>
    <col min="11266" max="11266" width="20.26953125" customWidth="1"/>
    <col min="11267" max="11267" width="26.81640625" customWidth="1"/>
    <col min="11268" max="11269" width="29.54296875" customWidth="1"/>
    <col min="11273" max="11273" width="20.7265625" customWidth="1"/>
    <col min="11274" max="11274" width="21.54296875" customWidth="1"/>
    <col min="11275" max="11275" width="28.1796875" customWidth="1"/>
    <col min="11276" max="11276" width="31.1796875" customWidth="1"/>
    <col min="11278" max="11278" width="21.453125" customWidth="1"/>
    <col min="11279" max="11279" width="20.7265625" customWidth="1"/>
    <col min="11280" max="11280" width="29" customWidth="1"/>
    <col min="11281" max="11281" width="33.54296875" customWidth="1"/>
    <col min="11521" max="11521" width="18.7265625" customWidth="1"/>
    <col min="11522" max="11522" width="20.26953125" customWidth="1"/>
    <col min="11523" max="11523" width="26.81640625" customWidth="1"/>
    <col min="11524" max="11525" width="29.54296875" customWidth="1"/>
    <col min="11529" max="11529" width="20.7265625" customWidth="1"/>
    <col min="11530" max="11530" width="21.54296875" customWidth="1"/>
    <col min="11531" max="11531" width="28.1796875" customWidth="1"/>
    <col min="11532" max="11532" width="31.1796875" customWidth="1"/>
    <col min="11534" max="11534" width="21.453125" customWidth="1"/>
    <col min="11535" max="11535" width="20.7265625" customWidth="1"/>
    <col min="11536" max="11536" width="29" customWidth="1"/>
    <col min="11537" max="11537" width="33.54296875" customWidth="1"/>
    <col min="11777" max="11777" width="18.7265625" customWidth="1"/>
    <col min="11778" max="11778" width="20.26953125" customWidth="1"/>
    <col min="11779" max="11779" width="26.81640625" customWidth="1"/>
    <col min="11780" max="11781" width="29.54296875" customWidth="1"/>
    <col min="11785" max="11785" width="20.7265625" customWidth="1"/>
    <col min="11786" max="11786" width="21.54296875" customWidth="1"/>
    <col min="11787" max="11787" width="28.1796875" customWidth="1"/>
    <col min="11788" max="11788" width="31.1796875" customWidth="1"/>
    <col min="11790" max="11790" width="21.453125" customWidth="1"/>
    <col min="11791" max="11791" width="20.7265625" customWidth="1"/>
    <col min="11792" max="11792" width="29" customWidth="1"/>
    <col min="11793" max="11793" width="33.54296875" customWidth="1"/>
    <col min="12033" max="12033" width="18.7265625" customWidth="1"/>
    <col min="12034" max="12034" width="20.26953125" customWidth="1"/>
    <col min="12035" max="12035" width="26.81640625" customWidth="1"/>
    <col min="12036" max="12037" width="29.54296875" customWidth="1"/>
    <col min="12041" max="12041" width="20.7265625" customWidth="1"/>
    <col min="12042" max="12042" width="21.54296875" customWidth="1"/>
    <col min="12043" max="12043" width="28.1796875" customWidth="1"/>
    <col min="12044" max="12044" width="31.1796875" customWidth="1"/>
    <col min="12046" max="12046" width="21.453125" customWidth="1"/>
    <col min="12047" max="12047" width="20.7265625" customWidth="1"/>
    <col min="12048" max="12048" width="29" customWidth="1"/>
    <col min="12049" max="12049" width="33.54296875" customWidth="1"/>
    <col min="12289" max="12289" width="18.7265625" customWidth="1"/>
    <col min="12290" max="12290" width="20.26953125" customWidth="1"/>
    <col min="12291" max="12291" width="26.81640625" customWidth="1"/>
    <col min="12292" max="12293" width="29.54296875" customWidth="1"/>
    <col min="12297" max="12297" width="20.7265625" customWidth="1"/>
    <col min="12298" max="12298" width="21.54296875" customWidth="1"/>
    <col min="12299" max="12299" width="28.1796875" customWidth="1"/>
    <col min="12300" max="12300" width="31.1796875" customWidth="1"/>
    <col min="12302" max="12302" width="21.453125" customWidth="1"/>
    <col min="12303" max="12303" width="20.7265625" customWidth="1"/>
    <col min="12304" max="12304" width="29" customWidth="1"/>
    <col min="12305" max="12305" width="33.54296875" customWidth="1"/>
    <col min="12545" max="12545" width="18.7265625" customWidth="1"/>
    <col min="12546" max="12546" width="20.26953125" customWidth="1"/>
    <col min="12547" max="12547" width="26.81640625" customWidth="1"/>
    <col min="12548" max="12549" width="29.54296875" customWidth="1"/>
    <col min="12553" max="12553" width="20.7265625" customWidth="1"/>
    <col min="12554" max="12554" width="21.54296875" customWidth="1"/>
    <col min="12555" max="12555" width="28.1796875" customWidth="1"/>
    <col min="12556" max="12556" width="31.1796875" customWidth="1"/>
    <col min="12558" max="12558" width="21.453125" customWidth="1"/>
    <col min="12559" max="12559" width="20.7265625" customWidth="1"/>
    <col min="12560" max="12560" width="29" customWidth="1"/>
    <col min="12561" max="12561" width="33.54296875" customWidth="1"/>
    <col min="12801" max="12801" width="18.7265625" customWidth="1"/>
    <col min="12802" max="12802" width="20.26953125" customWidth="1"/>
    <col min="12803" max="12803" width="26.81640625" customWidth="1"/>
    <col min="12804" max="12805" width="29.54296875" customWidth="1"/>
    <col min="12809" max="12809" width="20.7265625" customWidth="1"/>
    <col min="12810" max="12810" width="21.54296875" customWidth="1"/>
    <col min="12811" max="12811" width="28.1796875" customWidth="1"/>
    <col min="12812" max="12812" width="31.1796875" customWidth="1"/>
    <col min="12814" max="12814" width="21.453125" customWidth="1"/>
    <col min="12815" max="12815" width="20.7265625" customWidth="1"/>
    <col min="12816" max="12816" width="29" customWidth="1"/>
    <col min="12817" max="12817" width="33.54296875" customWidth="1"/>
    <col min="13057" max="13057" width="18.7265625" customWidth="1"/>
    <col min="13058" max="13058" width="20.26953125" customWidth="1"/>
    <col min="13059" max="13059" width="26.81640625" customWidth="1"/>
    <col min="13060" max="13061" width="29.54296875" customWidth="1"/>
    <col min="13065" max="13065" width="20.7265625" customWidth="1"/>
    <col min="13066" max="13066" width="21.54296875" customWidth="1"/>
    <col min="13067" max="13067" width="28.1796875" customWidth="1"/>
    <col min="13068" max="13068" width="31.1796875" customWidth="1"/>
    <col min="13070" max="13070" width="21.453125" customWidth="1"/>
    <col min="13071" max="13071" width="20.7265625" customWidth="1"/>
    <col min="13072" max="13072" width="29" customWidth="1"/>
    <col min="13073" max="13073" width="33.54296875" customWidth="1"/>
    <col min="13313" max="13313" width="18.7265625" customWidth="1"/>
    <col min="13314" max="13314" width="20.26953125" customWidth="1"/>
    <col min="13315" max="13315" width="26.81640625" customWidth="1"/>
    <col min="13316" max="13317" width="29.54296875" customWidth="1"/>
    <col min="13321" max="13321" width="20.7265625" customWidth="1"/>
    <col min="13322" max="13322" width="21.54296875" customWidth="1"/>
    <col min="13323" max="13323" width="28.1796875" customWidth="1"/>
    <col min="13324" max="13324" width="31.1796875" customWidth="1"/>
    <col min="13326" max="13326" width="21.453125" customWidth="1"/>
    <col min="13327" max="13327" width="20.7265625" customWidth="1"/>
    <col min="13328" max="13328" width="29" customWidth="1"/>
    <col min="13329" max="13329" width="33.54296875" customWidth="1"/>
    <col min="13569" max="13569" width="18.7265625" customWidth="1"/>
    <col min="13570" max="13570" width="20.26953125" customWidth="1"/>
    <col min="13571" max="13571" width="26.81640625" customWidth="1"/>
    <col min="13572" max="13573" width="29.54296875" customWidth="1"/>
    <col min="13577" max="13577" width="20.7265625" customWidth="1"/>
    <col min="13578" max="13578" width="21.54296875" customWidth="1"/>
    <col min="13579" max="13579" width="28.1796875" customWidth="1"/>
    <col min="13580" max="13580" width="31.1796875" customWidth="1"/>
    <col min="13582" max="13582" width="21.453125" customWidth="1"/>
    <col min="13583" max="13583" width="20.7265625" customWidth="1"/>
    <col min="13584" max="13584" width="29" customWidth="1"/>
    <col min="13585" max="13585" width="33.54296875" customWidth="1"/>
    <col min="13825" max="13825" width="18.7265625" customWidth="1"/>
    <col min="13826" max="13826" width="20.26953125" customWidth="1"/>
    <col min="13827" max="13827" width="26.81640625" customWidth="1"/>
    <col min="13828" max="13829" width="29.54296875" customWidth="1"/>
    <col min="13833" max="13833" width="20.7265625" customWidth="1"/>
    <col min="13834" max="13834" width="21.54296875" customWidth="1"/>
    <col min="13835" max="13835" width="28.1796875" customWidth="1"/>
    <col min="13836" max="13836" width="31.1796875" customWidth="1"/>
    <col min="13838" max="13838" width="21.453125" customWidth="1"/>
    <col min="13839" max="13839" width="20.7265625" customWidth="1"/>
    <col min="13840" max="13840" width="29" customWidth="1"/>
    <col min="13841" max="13841" width="33.54296875" customWidth="1"/>
    <col min="14081" max="14081" width="18.7265625" customWidth="1"/>
    <col min="14082" max="14082" width="20.26953125" customWidth="1"/>
    <col min="14083" max="14083" width="26.81640625" customWidth="1"/>
    <col min="14084" max="14085" width="29.54296875" customWidth="1"/>
    <col min="14089" max="14089" width="20.7265625" customWidth="1"/>
    <col min="14090" max="14090" width="21.54296875" customWidth="1"/>
    <col min="14091" max="14091" width="28.1796875" customWidth="1"/>
    <col min="14092" max="14092" width="31.1796875" customWidth="1"/>
    <col min="14094" max="14094" width="21.453125" customWidth="1"/>
    <col min="14095" max="14095" width="20.7265625" customWidth="1"/>
    <col min="14096" max="14096" width="29" customWidth="1"/>
    <col min="14097" max="14097" width="33.54296875" customWidth="1"/>
    <col min="14337" max="14337" width="18.7265625" customWidth="1"/>
    <col min="14338" max="14338" width="20.26953125" customWidth="1"/>
    <col min="14339" max="14339" width="26.81640625" customWidth="1"/>
    <col min="14340" max="14341" width="29.54296875" customWidth="1"/>
    <col min="14345" max="14345" width="20.7265625" customWidth="1"/>
    <col min="14346" max="14346" width="21.54296875" customWidth="1"/>
    <col min="14347" max="14347" width="28.1796875" customWidth="1"/>
    <col min="14348" max="14348" width="31.1796875" customWidth="1"/>
    <col min="14350" max="14350" width="21.453125" customWidth="1"/>
    <col min="14351" max="14351" width="20.7265625" customWidth="1"/>
    <col min="14352" max="14352" width="29" customWidth="1"/>
    <col min="14353" max="14353" width="33.54296875" customWidth="1"/>
    <col min="14593" max="14593" width="18.7265625" customWidth="1"/>
    <col min="14594" max="14594" width="20.26953125" customWidth="1"/>
    <col min="14595" max="14595" width="26.81640625" customWidth="1"/>
    <col min="14596" max="14597" width="29.54296875" customWidth="1"/>
    <col min="14601" max="14601" width="20.7265625" customWidth="1"/>
    <col min="14602" max="14602" width="21.54296875" customWidth="1"/>
    <col min="14603" max="14603" width="28.1796875" customWidth="1"/>
    <col min="14604" max="14604" width="31.1796875" customWidth="1"/>
    <col min="14606" max="14606" width="21.453125" customWidth="1"/>
    <col min="14607" max="14607" width="20.7265625" customWidth="1"/>
    <col min="14608" max="14608" width="29" customWidth="1"/>
    <col min="14609" max="14609" width="33.54296875" customWidth="1"/>
    <col min="14849" max="14849" width="18.7265625" customWidth="1"/>
    <col min="14850" max="14850" width="20.26953125" customWidth="1"/>
    <col min="14851" max="14851" width="26.81640625" customWidth="1"/>
    <col min="14852" max="14853" width="29.54296875" customWidth="1"/>
    <col min="14857" max="14857" width="20.7265625" customWidth="1"/>
    <col min="14858" max="14858" width="21.54296875" customWidth="1"/>
    <col min="14859" max="14859" width="28.1796875" customWidth="1"/>
    <col min="14860" max="14860" width="31.1796875" customWidth="1"/>
    <col min="14862" max="14862" width="21.453125" customWidth="1"/>
    <col min="14863" max="14863" width="20.7265625" customWidth="1"/>
    <col min="14864" max="14864" width="29" customWidth="1"/>
    <col min="14865" max="14865" width="33.54296875" customWidth="1"/>
    <col min="15105" max="15105" width="18.7265625" customWidth="1"/>
    <col min="15106" max="15106" width="20.26953125" customWidth="1"/>
    <col min="15107" max="15107" width="26.81640625" customWidth="1"/>
    <col min="15108" max="15109" width="29.54296875" customWidth="1"/>
    <col min="15113" max="15113" width="20.7265625" customWidth="1"/>
    <col min="15114" max="15114" width="21.54296875" customWidth="1"/>
    <col min="15115" max="15115" width="28.1796875" customWidth="1"/>
    <col min="15116" max="15116" width="31.1796875" customWidth="1"/>
    <col min="15118" max="15118" width="21.453125" customWidth="1"/>
    <col min="15119" max="15119" width="20.7265625" customWidth="1"/>
    <col min="15120" max="15120" width="29" customWidth="1"/>
    <col min="15121" max="15121" width="33.54296875" customWidth="1"/>
    <col min="15361" max="15361" width="18.7265625" customWidth="1"/>
    <col min="15362" max="15362" width="20.26953125" customWidth="1"/>
    <col min="15363" max="15363" width="26.81640625" customWidth="1"/>
    <col min="15364" max="15365" width="29.54296875" customWidth="1"/>
    <col min="15369" max="15369" width="20.7265625" customWidth="1"/>
    <col min="15370" max="15370" width="21.54296875" customWidth="1"/>
    <col min="15371" max="15371" width="28.1796875" customWidth="1"/>
    <col min="15372" max="15372" width="31.1796875" customWidth="1"/>
    <col min="15374" max="15374" width="21.453125" customWidth="1"/>
    <col min="15375" max="15375" width="20.7265625" customWidth="1"/>
    <col min="15376" max="15376" width="29" customWidth="1"/>
    <col min="15377" max="15377" width="33.54296875" customWidth="1"/>
    <col min="15617" max="15617" width="18.7265625" customWidth="1"/>
    <col min="15618" max="15618" width="20.26953125" customWidth="1"/>
    <col min="15619" max="15619" width="26.81640625" customWidth="1"/>
    <col min="15620" max="15621" width="29.54296875" customWidth="1"/>
    <col min="15625" max="15625" width="20.7265625" customWidth="1"/>
    <col min="15626" max="15626" width="21.54296875" customWidth="1"/>
    <col min="15627" max="15627" width="28.1796875" customWidth="1"/>
    <col min="15628" max="15628" width="31.1796875" customWidth="1"/>
    <col min="15630" max="15630" width="21.453125" customWidth="1"/>
    <col min="15631" max="15631" width="20.7265625" customWidth="1"/>
    <col min="15632" max="15632" width="29" customWidth="1"/>
    <col min="15633" max="15633" width="33.54296875" customWidth="1"/>
    <col min="15873" max="15873" width="18.7265625" customWidth="1"/>
    <col min="15874" max="15874" width="20.26953125" customWidth="1"/>
    <col min="15875" max="15875" width="26.81640625" customWidth="1"/>
    <col min="15876" max="15877" width="29.54296875" customWidth="1"/>
    <col min="15881" max="15881" width="20.7265625" customWidth="1"/>
    <col min="15882" max="15882" width="21.54296875" customWidth="1"/>
    <col min="15883" max="15883" width="28.1796875" customWidth="1"/>
    <col min="15884" max="15884" width="31.1796875" customWidth="1"/>
    <col min="15886" max="15886" width="21.453125" customWidth="1"/>
    <col min="15887" max="15887" width="20.7265625" customWidth="1"/>
    <col min="15888" max="15888" width="29" customWidth="1"/>
    <col min="15889" max="15889" width="33.54296875" customWidth="1"/>
    <col min="16129" max="16129" width="18.7265625" customWidth="1"/>
    <col min="16130" max="16130" width="20.26953125" customWidth="1"/>
    <col min="16131" max="16131" width="26.81640625" customWidth="1"/>
    <col min="16132" max="16133" width="29.54296875" customWidth="1"/>
    <col min="16137" max="16137" width="20.7265625" customWidth="1"/>
    <col min="16138" max="16138" width="21.54296875" customWidth="1"/>
    <col min="16139" max="16139" width="28.1796875" customWidth="1"/>
    <col min="16140" max="16140" width="31.1796875" customWidth="1"/>
    <col min="16142" max="16142" width="21.453125" customWidth="1"/>
    <col min="16143" max="16143" width="20.7265625" customWidth="1"/>
    <col min="16144" max="16144" width="29" customWidth="1"/>
    <col min="16145" max="16145" width="33.54296875" customWidth="1"/>
  </cols>
  <sheetData>
    <row r="1" spans="1:7" ht="13" x14ac:dyDescent="0.3">
      <c r="A1" s="783" t="s">
        <v>3736</v>
      </c>
      <c r="B1" s="784"/>
    </row>
    <row r="2" spans="1:7" ht="13" x14ac:dyDescent="0.3">
      <c r="A2" s="783"/>
      <c r="B2" s="784"/>
    </row>
    <row r="3" spans="1:7" ht="13" x14ac:dyDescent="0.3">
      <c r="A3" s="791" t="s">
        <v>3703</v>
      </c>
      <c r="B3" s="792" t="s">
        <v>3704</v>
      </c>
      <c r="C3" t="str">
        <f>'KMU-DATA'!G91</f>
        <v>Somma ass. ATTUALE</v>
      </c>
      <c r="D3" t="str">
        <f>'KMU-DATA'!H91</f>
        <v>Somma ass. PROPOSTA</v>
      </c>
      <c r="E3" t="str">
        <f>Traduzioni!G754</f>
        <v>RISCHIO FINANZ. ATTUALE:</v>
      </c>
      <c r="G3" t="str">
        <f>'KMU-DATA'!C91</f>
        <v>Rischio Max.</v>
      </c>
    </row>
    <row r="4" spans="1:7" x14ac:dyDescent="0.25">
      <c r="A4" s="928" t="str">
        <f>Traduzioni!G712</f>
        <v>Stabili</v>
      </c>
      <c r="B4" s="794" t="str">
        <f>'KMU-DATA'!B92</f>
        <v>Incendio/Natura</v>
      </c>
      <c r="C4" s="794">
        <f>'KMU-DATA'!G92</f>
        <v>100000</v>
      </c>
      <c r="D4" s="794">
        <f>'KMU-DATA'!H92</f>
        <v>500000</v>
      </c>
      <c r="E4" s="788">
        <f t="shared" ref="E4:E33" si="0">G4-C4</f>
        <v>400000</v>
      </c>
      <c r="F4" s="788"/>
      <c r="G4" s="794">
        <f>'KMU-DATA'!C92</f>
        <v>500000</v>
      </c>
    </row>
    <row r="5" spans="1:7" x14ac:dyDescent="0.25">
      <c r="A5" s="928"/>
      <c r="B5" s="794" t="str">
        <f>'KMU-DATA'!B93</f>
        <v>Danni acque</v>
      </c>
      <c r="C5" s="794">
        <f>'KMU-DATA'!G93</f>
        <v>100000</v>
      </c>
      <c r="D5" s="794">
        <f>'KMU-DATA'!H93</f>
        <v>500000</v>
      </c>
      <c r="E5" s="788">
        <f t="shared" si="0"/>
        <v>400000</v>
      </c>
      <c r="F5" s="788"/>
      <c r="G5" s="794">
        <f>'KMU-DATA'!C93</f>
        <v>500000</v>
      </c>
    </row>
    <row r="6" spans="1:7" x14ac:dyDescent="0.25">
      <c r="A6" s="928"/>
      <c r="B6" s="794" t="str">
        <f>'KMU-DATA'!B94</f>
        <v>Rottura vetri</v>
      </c>
      <c r="C6" s="794">
        <f>'KMU-DATA'!G94</f>
        <v>5000</v>
      </c>
      <c r="D6" s="794">
        <f>'KMU-DATA'!H94</f>
        <v>10000</v>
      </c>
      <c r="E6" s="788">
        <f t="shared" si="0"/>
        <v>5000</v>
      </c>
      <c r="F6" s="788"/>
      <c r="G6" s="794">
        <f>'KMU-DATA'!C94</f>
        <v>10000</v>
      </c>
    </row>
    <row r="7" spans="1:7" x14ac:dyDescent="0.25">
      <c r="A7" s="928"/>
      <c r="B7" s="794" t="str">
        <f>'KMU-DATA'!B95</f>
        <v>Furto</v>
      </c>
      <c r="C7" s="794">
        <f>'KMU-DATA'!G95</f>
        <v>10000</v>
      </c>
      <c r="D7" s="794">
        <f>'KMU-DATA'!H95</f>
        <v>20000</v>
      </c>
      <c r="E7" s="788">
        <f t="shared" si="0"/>
        <v>10000</v>
      </c>
      <c r="F7" s="788"/>
      <c r="G7" s="794">
        <f>'KMU-DATA'!C95</f>
        <v>20000</v>
      </c>
    </row>
    <row r="8" spans="1:7" x14ac:dyDescent="0.25">
      <c r="A8" s="928" t="str">
        <f>Traduzioni!G713</f>
        <v>Beni mobili</v>
      </c>
      <c r="B8" s="794" t="str">
        <f>'KMU-DATA'!B96</f>
        <v>Incendio/Natura</v>
      </c>
      <c r="C8" s="794">
        <f>'KMU-DATA'!G96</f>
        <v>40000</v>
      </c>
      <c r="D8" s="794">
        <f>'KMU-DATA'!H96</f>
        <v>50000</v>
      </c>
      <c r="E8" s="788">
        <f t="shared" si="0"/>
        <v>10000</v>
      </c>
      <c r="F8" s="788"/>
      <c r="G8" s="794">
        <f>'KMU-DATA'!C96</f>
        <v>50000</v>
      </c>
    </row>
    <row r="9" spans="1:7" x14ac:dyDescent="0.25">
      <c r="A9" s="928"/>
      <c r="B9" s="794" t="str">
        <f>'KMU-DATA'!B97</f>
        <v>Danni acque</v>
      </c>
      <c r="C9" s="794">
        <f>'KMU-DATA'!G97</f>
        <v>40000</v>
      </c>
      <c r="D9" s="794">
        <f>'KMU-DATA'!H97</f>
        <v>50000</v>
      </c>
      <c r="E9" s="788">
        <f t="shared" si="0"/>
        <v>10000</v>
      </c>
      <c r="F9" s="788"/>
      <c r="G9" s="794">
        <f>'KMU-DATA'!C97</f>
        <v>50000</v>
      </c>
    </row>
    <row r="10" spans="1:7" x14ac:dyDescent="0.25">
      <c r="A10" s="928"/>
      <c r="B10" s="794" t="str">
        <f>'KMU-DATA'!B98</f>
        <v>Rottura vetri</v>
      </c>
      <c r="C10" s="794">
        <f>'KMU-DATA'!G98</f>
        <v>5000</v>
      </c>
      <c r="D10" s="794">
        <f>'KMU-DATA'!H98</f>
        <v>5000</v>
      </c>
      <c r="E10" s="788">
        <f t="shared" si="0"/>
        <v>0</v>
      </c>
      <c r="F10" s="788"/>
      <c r="G10" s="794">
        <f>'KMU-DATA'!C98</f>
        <v>5000</v>
      </c>
    </row>
    <row r="11" spans="1:7" x14ac:dyDescent="0.25">
      <c r="A11" s="928"/>
      <c r="B11" s="794" t="str">
        <f>'KMU-DATA'!B99</f>
        <v>Furto</v>
      </c>
      <c r="C11" s="794">
        <f>'KMU-DATA'!G99</f>
        <v>20000</v>
      </c>
      <c r="D11" s="794">
        <f>'KMU-DATA'!H99</f>
        <v>20000</v>
      </c>
      <c r="E11" s="788">
        <f t="shared" si="0"/>
        <v>0</v>
      </c>
      <c r="F11" s="788"/>
      <c r="G11" s="794">
        <f>'KMU-DATA'!C99</f>
        <v>20000</v>
      </c>
    </row>
    <row r="12" spans="1:7" x14ac:dyDescent="0.25">
      <c r="A12" s="928"/>
      <c r="B12" s="794" t="str">
        <f>'KMU-DATA'!B100</f>
        <v>Perdita di esercizio</v>
      </c>
      <c r="C12" s="794">
        <f>'KMU-DATA'!G100</f>
        <v>50000</v>
      </c>
      <c r="D12" s="794">
        <f>'KMU-DATA'!H100</f>
        <v>50000</v>
      </c>
      <c r="E12" s="788">
        <f t="shared" si="0"/>
        <v>0</v>
      </c>
      <c r="F12" s="788"/>
      <c r="G12" s="794">
        <f>'KMU-DATA'!C100</f>
        <v>50000</v>
      </c>
    </row>
    <row r="13" spans="1:7" x14ac:dyDescent="0.25">
      <c r="A13" s="928"/>
      <c r="B13" s="794" t="str">
        <f>'KMU-DATA'!B101</f>
        <v>Danni di ripercussione</v>
      </c>
      <c r="C13" s="794">
        <f>'KMU-DATA'!G101</f>
        <v>100000</v>
      </c>
      <c r="D13" s="794">
        <f>'KMU-DATA'!H101</f>
        <v>100000</v>
      </c>
      <c r="E13" s="788">
        <f t="shared" si="0"/>
        <v>0</v>
      </c>
      <c r="F13" s="788"/>
      <c r="G13" s="794">
        <f>'KMU-DATA'!C101</f>
        <v>100000</v>
      </c>
    </row>
    <row r="14" spans="1:7" x14ac:dyDescent="0.25">
      <c r="A14" s="928" t="str">
        <f>Traduzioni!G747</f>
        <v>Trasp.</v>
      </c>
      <c r="B14" s="794" t="str">
        <f>'KMU-DATA'!B102</f>
        <v>Trasporti(Cose)</v>
      </c>
      <c r="C14" s="794">
        <f>'KMU-DATA'!G102</f>
        <v>0</v>
      </c>
      <c r="D14" s="794">
        <f>'KMU-DATA'!H102</f>
        <v>0</v>
      </c>
      <c r="E14" s="788">
        <f t="shared" si="0"/>
        <v>0</v>
      </c>
      <c r="F14" s="788"/>
      <c r="G14" s="794">
        <f>'KMU-DATA'!C102</f>
        <v>0</v>
      </c>
    </row>
    <row r="15" spans="1:7" x14ac:dyDescent="0.25">
      <c r="A15" s="928"/>
      <c r="B15" s="794" t="str">
        <f>'KMU-DATA'!B103</f>
        <v>Trasporti (RC)</v>
      </c>
      <c r="C15" s="794">
        <f>'KMU-DATA'!G103</f>
        <v>0</v>
      </c>
      <c r="D15" s="794">
        <f>'KMU-DATA'!H103</f>
        <v>0</v>
      </c>
      <c r="E15" s="788">
        <f t="shared" si="0"/>
        <v>0</v>
      </c>
      <c r="F15" s="788"/>
      <c r="G15" s="794">
        <f>'KMU-DATA'!C103</f>
        <v>0</v>
      </c>
    </row>
    <row r="16" spans="1:7" x14ac:dyDescent="0.25">
      <c r="A16" s="928" t="str">
        <f>Traduzioni!G748</f>
        <v>Responsabilità Civile</v>
      </c>
      <c r="B16" s="794" t="str">
        <f>'KMU-DATA'!B104</f>
        <v>Impresa</v>
      </c>
      <c r="C16" s="794">
        <f>'KMU-DATA'!G104</f>
        <v>1000000</v>
      </c>
      <c r="D16" s="794">
        <f>'KMU-DATA'!H104</f>
        <v>1000000</v>
      </c>
      <c r="E16" s="788">
        <f t="shared" si="0"/>
        <v>0</v>
      </c>
      <c r="F16" s="788"/>
      <c r="G16" s="794">
        <f>'KMU-DATA'!C104</f>
        <v>1000000</v>
      </c>
    </row>
    <row r="17" spans="1:7" x14ac:dyDescent="0.25">
      <c r="A17" s="928"/>
      <c r="B17" s="794" t="str">
        <f>'KMU-DATA'!B105</f>
        <v>Professionale</v>
      </c>
      <c r="C17" s="794">
        <f>'KMU-DATA'!G105</f>
        <v>0</v>
      </c>
      <c r="D17" s="794">
        <f>'KMU-DATA'!H105</f>
        <v>0</v>
      </c>
      <c r="E17" s="788">
        <f t="shared" si="0"/>
        <v>0</v>
      </c>
      <c r="F17" s="788"/>
      <c r="G17" s="794">
        <f>'KMU-DATA'!C105</f>
        <v>0</v>
      </c>
    </row>
    <row r="18" spans="1:7" x14ac:dyDescent="0.25">
      <c r="A18" s="928"/>
      <c r="B18" s="794" t="str">
        <f>'KMU-DATA'!B106</f>
        <v>Stabile</v>
      </c>
      <c r="C18" s="794">
        <f>'KMU-DATA'!G106</f>
        <v>0</v>
      </c>
      <c r="D18" s="794">
        <f>'KMU-DATA'!H106</f>
        <v>1000000</v>
      </c>
      <c r="E18" s="788">
        <f t="shared" si="0"/>
        <v>1000000</v>
      </c>
      <c r="F18" s="788"/>
      <c r="G18" s="794">
        <f>'KMU-DATA'!C106</f>
        <v>1000000</v>
      </c>
    </row>
    <row r="19" spans="1:7" x14ac:dyDescent="0.25">
      <c r="A19" s="928" t="str">
        <f>Traduzioni!G749</f>
        <v>Protezione Giuridica</v>
      </c>
      <c r="B19" s="794" t="str">
        <f>'KMU-DATA'!B107</f>
        <v>Extracontrattuale</v>
      </c>
      <c r="C19" s="794">
        <f>'KMU-DATA'!G107</f>
        <v>0</v>
      </c>
      <c r="D19" s="794">
        <f>'KMU-DATA'!H107</f>
        <v>250000</v>
      </c>
      <c r="E19" s="788">
        <f t="shared" si="0"/>
        <v>250000</v>
      </c>
      <c r="F19" s="788"/>
      <c r="G19" s="794">
        <f>'KMU-DATA'!C107</f>
        <v>250000</v>
      </c>
    </row>
    <row r="20" spans="1:7" x14ac:dyDescent="0.25">
      <c r="A20" s="928"/>
      <c r="B20" s="794" t="str">
        <f>'KMU-DATA'!B108</f>
        <v>Contrattuale</v>
      </c>
      <c r="C20" s="794">
        <f>'KMU-DATA'!G108</f>
        <v>0</v>
      </c>
      <c r="D20" s="794">
        <f>'KMU-DATA'!H108</f>
        <v>250000</v>
      </c>
      <c r="E20" s="788">
        <f t="shared" si="0"/>
        <v>0</v>
      </c>
      <c r="F20" s="788"/>
      <c r="G20" s="794"/>
    </row>
    <row r="21" spans="1:7" x14ac:dyDescent="0.25">
      <c r="A21" s="928" t="str">
        <f>Traduzioni!G750</f>
        <v>Dirigenti/soci</v>
      </c>
      <c r="B21" s="794" t="str">
        <f>'KMU-DATA'!B109</f>
        <v>Decesso</v>
      </c>
      <c r="C21" s="794">
        <f>'KMU-DATA'!G109</f>
        <v>0</v>
      </c>
      <c r="D21" s="794">
        <f>'KMU-DATA'!H109</f>
        <v>200000</v>
      </c>
      <c r="E21" s="788">
        <f t="shared" si="0"/>
        <v>200000</v>
      </c>
      <c r="F21" s="788"/>
      <c r="G21" s="794">
        <f>'KMU-DATA'!C109</f>
        <v>200000</v>
      </c>
    </row>
    <row r="22" spans="1:7" x14ac:dyDescent="0.25">
      <c r="A22" s="928"/>
      <c r="B22" s="794" t="str">
        <f>'KMU-DATA'!B110</f>
        <v>Invalidità</v>
      </c>
      <c r="C22" s="794">
        <f>'KMU-DATA'!G110</f>
        <v>0</v>
      </c>
      <c r="D22" s="794">
        <f>'KMU-DATA'!H110</f>
        <v>200000</v>
      </c>
      <c r="E22" s="788">
        <f t="shared" si="0"/>
        <v>200000</v>
      </c>
      <c r="F22" s="788"/>
      <c r="G22" s="794">
        <f>'KMU-DATA'!C110</f>
        <v>200000</v>
      </c>
    </row>
    <row r="23" spans="1:7" x14ac:dyDescent="0.25">
      <c r="A23" s="928" t="str">
        <f>Traduzioni!G751</f>
        <v>Personale</v>
      </c>
      <c r="B23" s="794" t="str">
        <f>'KMU-DATA'!B111</f>
        <v>Lanif</v>
      </c>
      <c r="C23" s="794">
        <f>'KMU-DATA'!G111</f>
        <v>40000</v>
      </c>
      <c r="D23" s="794">
        <f>'KMU-DATA'!H111</f>
        <v>40000</v>
      </c>
      <c r="E23" s="788">
        <f t="shared" si="0"/>
        <v>0</v>
      </c>
      <c r="F23" s="788"/>
      <c r="G23" s="794">
        <f>'KMU-DATA'!C111</f>
        <v>40000</v>
      </c>
    </row>
    <row r="24" spans="1:7" x14ac:dyDescent="0.25">
      <c r="A24" s="928"/>
      <c r="B24" s="794" t="str">
        <f>'KMU-DATA'!B112</f>
        <v>Compl.Lainf</v>
      </c>
      <c r="C24" s="794">
        <f>'KMU-DATA'!G112</f>
        <v>40000</v>
      </c>
      <c r="D24" s="794">
        <f>'KMU-DATA'!H112</f>
        <v>40000</v>
      </c>
      <c r="E24" s="788">
        <f t="shared" si="0"/>
        <v>0</v>
      </c>
      <c r="F24" s="788"/>
      <c r="G24" s="794">
        <f>'KMU-DATA'!C112</f>
        <v>40000</v>
      </c>
    </row>
    <row r="25" spans="1:7" ht="12.75" customHeight="1" x14ac:dyDescent="0.25">
      <c r="A25" s="928"/>
      <c r="B25" s="794" t="str">
        <f>'KMU-DATA'!B113</f>
        <v>P.G. Malattia</v>
      </c>
      <c r="C25" s="794">
        <f>'KMU-DATA'!G113</f>
        <v>40000</v>
      </c>
      <c r="D25" s="794">
        <f>'KMU-DATA'!H113</f>
        <v>40000</v>
      </c>
      <c r="E25" s="788">
        <f t="shared" si="0"/>
        <v>0</v>
      </c>
      <c r="F25" s="788"/>
      <c r="G25" s="794">
        <f>'KMU-DATA'!C113</f>
        <v>40000</v>
      </c>
    </row>
    <row r="26" spans="1:7" x14ac:dyDescent="0.25">
      <c r="A26" s="928"/>
      <c r="B26" s="794" t="str">
        <f>'KMU-DATA'!B114</f>
        <v>LPP</v>
      </c>
      <c r="C26" s="794">
        <f>'KMU-DATA'!G114</f>
        <v>40000</v>
      </c>
      <c r="D26" s="794">
        <f>'KMU-DATA'!H114</f>
        <v>40000</v>
      </c>
      <c r="E26" s="788">
        <f t="shared" si="0"/>
        <v>0</v>
      </c>
      <c r="F26" s="788"/>
      <c r="G26" s="794">
        <f>'KMU-DATA'!C114</f>
        <v>40000</v>
      </c>
    </row>
    <row r="27" spans="1:7" x14ac:dyDescent="0.25">
      <c r="A27" s="929" t="str">
        <f>Traduzioni!G752</f>
        <v>Assicurazioni tecniche</v>
      </c>
      <c r="B27" s="794" t="str">
        <f>'KMU-DATA'!B115</f>
        <v>Macchine</v>
      </c>
      <c r="C27" s="794">
        <f>'KMU-DATA'!G115</f>
        <v>0</v>
      </c>
      <c r="D27" s="794">
        <f>'KMU-DATA'!H115</f>
        <v>60000</v>
      </c>
      <c r="E27" s="788">
        <f t="shared" si="0"/>
        <v>60000</v>
      </c>
      <c r="F27" s="788"/>
      <c r="G27" s="794">
        <f>'KMU-DATA'!C115</f>
        <v>60000</v>
      </c>
    </row>
    <row r="28" spans="1:7" x14ac:dyDescent="0.25">
      <c r="A28" s="929"/>
      <c r="B28" s="794" t="str">
        <f>'KMU-DATA'!B116</f>
        <v>Montaggio</v>
      </c>
      <c r="C28" s="794">
        <f>'KMU-DATA'!G116</f>
        <v>0</v>
      </c>
      <c r="D28" s="794">
        <f>'KMU-DATA'!H116</f>
        <v>50000</v>
      </c>
      <c r="E28" s="788">
        <f t="shared" si="0"/>
        <v>50000</v>
      </c>
      <c r="F28" s="788"/>
      <c r="G28" s="794">
        <f>'KMU-DATA'!C116</f>
        <v>50000</v>
      </c>
    </row>
    <row r="29" spans="1:7" x14ac:dyDescent="0.25">
      <c r="A29" s="929"/>
      <c r="B29" s="794" t="str">
        <f>'KMU-DATA'!B117</f>
        <v>Casco macchine</v>
      </c>
      <c r="C29" s="794">
        <f>'KMU-DATA'!G117</f>
        <v>0</v>
      </c>
      <c r="D29" s="794">
        <f>'KMU-DATA'!H117</f>
        <v>40000</v>
      </c>
      <c r="E29" s="788">
        <f t="shared" si="0"/>
        <v>40000</v>
      </c>
      <c r="F29" s="788"/>
      <c r="G29" s="794">
        <f>'KMU-DATA'!C117</f>
        <v>40000</v>
      </c>
    </row>
    <row r="30" spans="1:7" x14ac:dyDescent="0.25">
      <c r="A30" s="929"/>
      <c r="B30" s="794" t="str">
        <f>'KMU-DATA'!B118</f>
        <v>Cyber</v>
      </c>
      <c r="C30" s="794">
        <f>'KMU-DATA'!G118</f>
        <v>0</v>
      </c>
      <c r="D30" s="794">
        <f>'KMU-DATA'!H118</f>
        <v>40000</v>
      </c>
      <c r="E30" s="788">
        <f t="shared" si="0"/>
        <v>40000</v>
      </c>
      <c r="F30" s="788"/>
      <c r="G30" s="794">
        <f>'KMU-DATA'!C118</f>
        <v>40000</v>
      </c>
    </row>
    <row r="31" spans="1:7" x14ac:dyDescent="0.25">
      <c r="A31" s="929"/>
      <c r="B31" s="794" t="str">
        <f>'KMU-DATA'!B119</f>
        <v>Impianti ITG/EED</v>
      </c>
      <c r="C31" s="794">
        <f>'KMU-DATA'!G119</f>
        <v>0</v>
      </c>
      <c r="D31" s="794">
        <f>'KMU-DATA'!H119</f>
        <v>60000</v>
      </c>
      <c r="E31" s="788">
        <f t="shared" si="0"/>
        <v>60000</v>
      </c>
      <c r="F31" s="788"/>
      <c r="G31" s="794">
        <f>'KMU-DATA'!C119</f>
        <v>60000</v>
      </c>
    </row>
    <row r="32" spans="1:7" x14ac:dyDescent="0.25">
      <c r="A32" s="930" t="str">
        <f>Traduzioni!G753</f>
        <v>Diverse</v>
      </c>
      <c r="B32" s="794" t="str">
        <f>'KMU-DATA'!B120</f>
        <v>Infortuni Clienti</v>
      </c>
      <c r="C32" s="794">
        <f>'KMU-DATA'!G120</f>
        <v>0</v>
      </c>
      <c r="D32" s="794">
        <f>'KMU-DATA'!H120</f>
        <v>0</v>
      </c>
      <c r="E32" s="788">
        <f t="shared" si="0"/>
        <v>0</v>
      </c>
      <c r="F32" s="788"/>
      <c r="G32" s="794">
        <f>'KMU-DATA'!C120</f>
        <v>0</v>
      </c>
    </row>
    <row r="33" spans="1:17" x14ac:dyDescent="0.25">
      <c r="A33" s="930"/>
      <c r="B33" s="794" t="str">
        <f>'KMU-DATA'!B121</f>
        <v>Altro</v>
      </c>
      <c r="C33" s="794">
        <f>'KMU-DATA'!G121</f>
        <v>0</v>
      </c>
      <c r="D33" s="794">
        <f>'KMU-DATA'!H121</f>
        <v>0</v>
      </c>
      <c r="E33" s="788">
        <f t="shared" si="0"/>
        <v>0</v>
      </c>
      <c r="F33" s="788"/>
      <c r="G33" s="794">
        <f>'KMU-DATA'!C121</f>
        <v>0</v>
      </c>
    </row>
    <row r="34" spans="1:17" ht="83" customHeight="1" x14ac:dyDescent="0.25">
      <c r="A34" t="s">
        <v>3738</v>
      </c>
      <c r="I34" s="913" t="s">
        <v>3739</v>
      </c>
      <c r="J34" s="913"/>
      <c r="K34" s="913"/>
      <c r="L34" s="913"/>
      <c r="N34" s="913" t="s">
        <v>3740</v>
      </c>
      <c r="O34" s="913"/>
      <c r="P34" s="913"/>
      <c r="Q34" s="913"/>
    </row>
    <row r="35" spans="1:17" x14ac:dyDescent="0.25">
      <c r="A35" t="str">
        <f>A3</f>
        <v>Tipologia di rischio</v>
      </c>
      <c r="B35" t="str">
        <f>B3</f>
        <v>Copertura assicurata</v>
      </c>
      <c r="C35" t="str">
        <f>C3</f>
        <v>Somma ass. ATTUALE</v>
      </c>
      <c r="D35" t="str">
        <f>D3</f>
        <v>Somma ass. PROPOSTA</v>
      </c>
      <c r="E35" t="str">
        <f>E3</f>
        <v>RISCHIO FINANZ. ATTUALE:</v>
      </c>
      <c r="G35" t="str">
        <f>G3</f>
        <v>Rischio Max.</v>
      </c>
      <c r="I35" s="540" t="str">
        <f t="shared" ref="I35:K53" si="1">A35</f>
        <v>Tipologia di rischio</v>
      </c>
      <c r="J35" s="540" t="str">
        <f t="shared" si="1"/>
        <v>Copertura assicurata</v>
      </c>
      <c r="K35" s="540" t="str">
        <f t="shared" si="1"/>
        <v>Somma ass. ATTUALE</v>
      </c>
      <c r="L35" s="540" t="str">
        <f t="shared" ref="L35:L65" si="2">E35</f>
        <v>RISCHIO FINANZ. ATTUALE:</v>
      </c>
      <c r="N35" s="540" t="str">
        <f t="shared" ref="N35:O53" si="3">I35</f>
        <v>Tipologia di rischio</v>
      </c>
      <c r="O35" s="540" t="str">
        <f t="shared" si="3"/>
        <v>Copertura assicurata</v>
      </c>
      <c r="P35" s="540" t="str">
        <f t="shared" ref="P35:P65" si="4">D35</f>
        <v>Somma ass. PROPOSTA</v>
      </c>
      <c r="Q35" s="540" t="str">
        <f>Traduzioni!G755</f>
        <v>SOLUZIONE PROPOSTA:</v>
      </c>
    </row>
    <row r="36" spans="1:17" x14ac:dyDescent="0.25">
      <c r="A36" s="931" t="str">
        <f>A32</f>
        <v>Diverse</v>
      </c>
      <c r="B36" s="787" t="str">
        <f>B33</f>
        <v>Altro</v>
      </c>
      <c r="C36" s="787">
        <f>C33</f>
        <v>0</v>
      </c>
      <c r="D36" s="787">
        <f>D33</f>
        <v>0</v>
      </c>
      <c r="E36" s="787">
        <f>E33</f>
        <v>0</v>
      </c>
      <c r="G36" s="787">
        <f>G33</f>
        <v>0</v>
      </c>
      <c r="I36" s="914" t="str">
        <f>A36</f>
        <v>Diverse</v>
      </c>
      <c r="J36" s="540" t="str">
        <f t="shared" si="1"/>
        <v>Altro</v>
      </c>
      <c r="K36" s="540">
        <f>C36</f>
        <v>0</v>
      </c>
      <c r="L36" s="540">
        <f>E36</f>
        <v>0</v>
      </c>
      <c r="N36" s="914" t="str">
        <f>A36</f>
        <v>Diverse</v>
      </c>
      <c r="O36" s="540" t="str">
        <f t="shared" ref="O36:O38" si="5">J36</f>
        <v>Altro</v>
      </c>
      <c r="P36" s="540">
        <f>D36</f>
        <v>0</v>
      </c>
      <c r="Q36" s="540">
        <f t="shared" ref="Q36:Q38" si="6">G36-P36</f>
        <v>0</v>
      </c>
    </row>
    <row r="37" spans="1:17" x14ac:dyDescent="0.25">
      <c r="A37" s="931"/>
      <c r="B37" s="787" t="str">
        <f>B32</f>
        <v>Infortuni Clienti</v>
      </c>
      <c r="C37" s="787">
        <f>C32</f>
        <v>0</v>
      </c>
      <c r="D37" s="787">
        <f>D32</f>
        <v>0</v>
      </c>
      <c r="E37" s="787">
        <f>E32</f>
        <v>0</v>
      </c>
      <c r="G37" s="787">
        <f>G32</f>
        <v>0</v>
      </c>
      <c r="I37" s="915"/>
      <c r="J37" s="540" t="str">
        <f t="shared" si="1"/>
        <v>Infortuni Clienti</v>
      </c>
      <c r="K37" s="540">
        <f>C37</f>
        <v>0</v>
      </c>
      <c r="L37" s="540">
        <f>E37</f>
        <v>0</v>
      </c>
      <c r="N37" s="915"/>
      <c r="O37" s="540" t="str">
        <f t="shared" si="5"/>
        <v>Infortuni Clienti</v>
      </c>
      <c r="P37" s="540">
        <f>D37</f>
        <v>0</v>
      </c>
      <c r="Q37" s="540">
        <f>G37-P37</f>
        <v>0</v>
      </c>
    </row>
    <row r="38" spans="1:17" x14ac:dyDescent="0.25">
      <c r="A38" s="919" t="str">
        <f>A27</f>
        <v>Assicurazioni tecniche</v>
      </c>
      <c r="B38" t="str">
        <f t="shared" ref="B38:F38" si="7">B31</f>
        <v>Impianti ITG/EED</v>
      </c>
      <c r="C38">
        <f t="shared" si="7"/>
        <v>0</v>
      </c>
      <c r="D38">
        <f t="shared" si="7"/>
        <v>60000</v>
      </c>
      <c r="E38">
        <f t="shared" si="7"/>
        <v>60000</v>
      </c>
      <c r="F38">
        <f t="shared" si="7"/>
        <v>0</v>
      </c>
      <c r="G38" s="787">
        <f>G31</f>
        <v>60000</v>
      </c>
      <c r="I38" s="916" t="str">
        <f>A38</f>
        <v>Assicurazioni tecniche</v>
      </c>
      <c r="J38" s="540" t="str">
        <f>B38</f>
        <v>Impianti ITG/EED</v>
      </c>
      <c r="K38" s="540">
        <f>C38</f>
        <v>0</v>
      </c>
      <c r="L38" s="540">
        <f>E38</f>
        <v>60000</v>
      </c>
      <c r="N38" s="916" t="str">
        <f>I38</f>
        <v>Assicurazioni tecniche</v>
      </c>
      <c r="O38" s="540" t="str">
        <f t="shared" si="5"/>
        <v>Impianti ITG/EED</v>
      </c>
      <c r="P38" s="540">
        <f t="shared" ref="P38" si="8">D38</f>
        <v>60000</v>
      </c>
      <c r="Q38" s="540">
        <f t="shared" si="6"/>
        <v>0</v>
      </c>
    </row>
    <row r="39" spans="1:17" x14ac:dyDescent="0.25">
      <c r="A39" s="919"/>
      <c r="B39" t="str">
        <f t="shared" ref="B39:F39" si="9">B30</f>
        <v>Cyber</v>
      </c>
      <c r="C39">
        <f t="shared" si="9"/>
        <v>0</v>
      </c>
      <c r="D39">
        <f t="shared" si="9"/>
        <v>40000</v>
      </c>
      <c r="E39">
        <f t="shared" si="9"/>
        <v>40000</v>
      </c>
      <c r="F39">
        <f t="shared" si="9"/>
        <v>0</v>
      </c>
      <c r="G39" s="787">
        <f>G30</f>
        <v>40000</v>
      </c>
      <c r="I39" s="917"/>
      <c r="J39" s="540" t="str">
        <f>B39</f>
        <v>Cyber</v>
      </c>
      <c r="K39" s="540">
        <f>C39</f>
        <v>0</v>
      </c>
      <c r="L39" s="540">
        <f>E39</f>
        <v>40000</v>
      </c>
      <c r="N39" s="917"/>
      <c r="O39" s="540" t="str">
        <f t="shared" si="3"/>
        <v>Cyber</v>
      </c>
      <c r="P39" s="540">
        <f>D39</f>
        <v>40000</v>
      </c>
      <c r="Q39" s="540">
        <f>G39-P39</f>
        <v>0</v>
      </c>
    </row>
    <row r="40" spans="1:17" x14ac:dyDescent="0.25">
      <c r="A40" s="919"/>
      <c r="B40" t="str">
        <f>B29</f>
        <v>Casco macchine</v>
      </c>
      <c r="C40">
        <f>C29</f>
        <v>0</v>
      </c>
      <c r="D40">
        <f>D29</f>
        <v>40000</v>
      </c>
      <c r="E40">
        <f>E29</f>
        <v>40000</v>
      </c>
      <c r="G40" s="787">
        <f>G29</f>
        <v>40000</v>
      </c>
      <c r="I40" s="917"/>
      <c r="J40" s="540" t="str">
        <f t="shared" si="1"/>
        <v>Casco macchine</v>
      </c>
      <c r="K40" s="540">
        <f t="shared" si="1"/>
        <v>0</v>
      </c>
      <c r="L40" s="540">
        <f t="shared" si="2"/>
        <v>40000</v>
      </c>
      <c r="N40" s="917"/>
      <c r="O40" s="540" t="str">
        <f t="shared" si="3"/>
        <v>Casco macchine</v>
      </c>
      <c r="P40" s="540">
        <f t="shared" si="4"/>
        <v>40000</v>
      </c>
      <c r="Q40" s="540">
        <f t="shared" ref="Q40:Q65" si="10">G40-P40</f>
        <v>0</v>
      </c>
    </row>
    <row r="41" spans="1:17" x14ac:dyDescent="0.25">
      <c r="A41" s="919"/>
      <c r="B41" t="str">
        <f>B28</f>
        <v>Montaggio</v>
      </c>
      <c r="C41">
        <f>C28</f>
        <v>0</v>
      </c>
      <c r="D41">
        <f>D28</f>
        <v>50000</v>
      </c>
      <c r="E41">
        <f>E28</f>
        <v>50000</v>
      </c>
      <c r="G41">
        <f>G28</f>
        <v>50000</v>
      </c>
      <c r="I41" s="917"/>
      <c r="J41" s="540" t="str">
        <f t="shared" si="1"/>
        <v>Montaggio</v>
      </c>
      <c r="K41" s="540">
        <f t="shared" si="1"/>
        <v>0</v>
      </c>
      <c r="L41" s="540">
        <f t="shared" si="2"/>
        <v>50000</v>
      </c>
      <c r="N41" s="917"/>
      <c r="O41" s="540" t="str">
        <f t="shared" si="3"/>
        <v>Montaggio</v>
      </c>
      <c r="P41" s="540">
        <f t="shared" si="4"/>
        <v>50000</v>
      </c>
      <c r="Q41" s="540">
        <f t="shared" si="10"/>
        <v>0</v>
      </c>
    </row>
    <row r="42" spans="1:17" x14ac:dyDescent="0.25">
      <c r="A42" s="920"/>
      <c r="B42" t="str">
        <f>B27</f>
        <v>Macchine</v>
      </c>
      <c r="C42">
        <f>C27</f>
        <v>0</v>
      </c>
      <c r="D42">
        <f>D27</f>
        <v>60000</v>
      </c>
      <c r="E42">
        <f>E27</f>
        <v>60000</v>
      </c>
      <c r="G42">
        <f>G27</f>
        <v>60000</v>
      </c>
      <c r="I42" s="917"/>
      <c r="J42" s="540" t="str">
        <f t="shared" si="1"/>
        <v>Macchine</v>
      </c>
      <c r="K42" s="540">
        <f t="shared" si="1"/>
        <v>0</v>
      </c>
      <c r="L42" s="540">
        <f t="shared" si="2"/>
        <v>60000</v>
      </c>
      <c r="N42" s="921"/>
      <c r="O42" s="540" t="str">
        <f t="shared" si="3"/>
        <v>Macchine</v>
      </c>
      <c r="P42" s="540">
        <f t="shared" si="4"/>
        <v>60000</v>
      </c>
      <c r="Q42" s="540">
        <f t="shared" si="10"/>
        <v>0</v>
      </c>
    </row>
    <row r="43" spans="1:17" x14ac:dyDescent="0.25">
      <c r="A43" s="922" t="str">
        <f>A23</f>
        <v>Personale</v>
      </c>
      <c r="B43" t="str">
        <f>B26</f>
        <v>LPP</v>
      </c>
      <c r="C43">
        <f>C26</f>
        <v>40000</v>
      </c>
      <c r="D43">
        <f>D26</f>
        <v>40000</v>
      </c>
      <c r="E43">
        <f>E26</f>
        <v>0</v>
      </c>
      <c r="G43">
        <f>G26</f>
        <v>40000</v>
      </c>
      <c r="I43" s="917" t="str">
        <f>N43</f>
        <v>Personale</v>
      </c>
      <c r="J43" s="540" t="str">
        <f t="shared" si="1"/>
        <v>LPP</v>
      </c>
      <c r="K43" s="540">
        <f t="shared" si="1"/>
        <v>40000</v>
      </c>
      <c r="L43" s="540">
        <f t="shared" si="2"/>
        <v>0</v>
      </c>
      <c r="N43" s="916" t="s">
        <v>3726</v>
      </c>
      <c r="O43" s="540" t="str">
        <f t="shared" si="3"/>
        <v>LPP</v>
      </c>
      <c r="P43" s="540">
        <f t="shared" si="4"/>
        <v>40000</v>
      </c>
      <c r="Q43" s="540">
        <f t="shared" si="10"/>
        <v>0</v>
      </c>
    </row>
    <row r="44" spans="1:17" x14ac:dyDescent="0.25">
      <c r="A44" s="923"/>
      <c r="B44" t="str">
        <f>B25</f>
        <v>P.G. Malattia</v>
      </c>
      <c r="C44">
        <f>C25</f>
        <v>40000</v>
      </c>
      <c r="D44">
        <f>D25</f>
        <v>40000</v>
      </c>
      <c r="E44">
        <f>E25</f>
        <v>0</v>
      </c>
      <c r="G44">
        <f>G25</f>
        <v>40000</v>
      </c>
      <c r="I44" s="917"/>
      <c r="J44" s="540" t="str">
        <f t="shared" si="1"/>
        <v>P.G. Malattia</v>
      </c>
      <c r="K44" s="540">
        <f t="shared" si="1"/>
        <v>40000</v>
      </c>
      <c r="L44" s="540">
        <f t="shared" si="2"/>
        <v>0</v>
      </c>
      <c r="N44" s="917"/>
      <c r="O44" s="540" t="str">
        <f t="shared" si="3"/>
        <v>P.G. Malattia</v>
      </c>
      <c r="P44" s="540">
        <f t="shared" si="4"/>
        <v>40000</v>
      </c>
      <c r="Q44" s="540">
        <f t="shared" si="10"/>
        <v>0</v>
      </c>
    </row>
    <row r="45" spans="1:17" x14ac:dyDescent="0.25">
      <c r="A45" s="923"/>
      <c r="B45" t="str">
        <f>B24</f>
        <v>Compl.Lainf</v>
      </c>
      <c r="C45">
        <f>C24</f>
        <v>40000</v>
      </c>
      <c r="D45">
        <f>D24</f>
        <v>40000</v>
      </c>
      <c r="E45">
        <f>E24</f>
        <v>0</v>
      </c>
      <c r="G45">
        <f>G24</f>
        <v>40000</v>
      </c>
      <c r="I45" s="917"/>
      <c r="J45" s="540" t="str">
        <f t="shared" si="1"/>
        <v>Compl.Lainf</v>
      </c>
      <c r="K45" s="540">
        <f t="shared" si="1"/>
        <v>40000</v>
      </c>
      <c r="L45" s="540">
        <f t="shared" si="2"/>
        <v>0</v>
      </c>
      <c r="N45" s="917"/>
      <c r="O45" s="540" t="str">
        <f t="shared" si="3"/>
        <v>Compl.Lainf</v>
      </c>
      <c r="P45" s="540">
        <f t="shared" si="4"/>
        <v>40000</v>
      </c>
      <c r="Q45" s="540">
        <f t="shared" si="10"/>
        <v>0</v>
      </c>
    </row>
    <row r="46" spans="1:17" x14ac:dyDescent="0.25">
      <c r="A46" s="924"/>
      <c r="B46" t="str">
        <f>B23</f>
        <v>Lanif</v>
      </c>
      <c r="C46">
        <f>C23</f>
        <v>40000</v>
      </c>
      <c r="D46">
        <f>D23</f>
        <v>40000</v>
      </c>
      <c r="E46">
        <f>E23</f>
        <v>0</v>
      </c>
      <c r="G46">
        <f>G23</f>
        <v>40000</v>
      </c>
      <c r="I46" s="917"/>
      <c r="J46" s="540" t="str">
        <f t="shared" si="1"/>
        <v>Lanif</v>
      </c>
      <c r="K46" s="540">
        <f t="shared" si="1"/>
        <v>40000</v>
      </c>
      <c r="L46" s="540">
        <f t="shared" si="2"/>
        <v>0</v>
      </c>
      <c r="N46" s="921"/>
      <c r="O46" s="540" t="str">
        <f t="shared" si="3"/>
        <v>Lanif</v>
      </c>
      <c r="P46" s="540">
        <f t="shared" si="4"/>
        <v>40000</v>
      </c>
      <c r="Q46" s="540">
        <f t="shared" si="10"/>
        <v>0</v>
      </c>
    </row>
    <row r="47" spans="1:17" x14ac:dyDescent="0.25">
      <c r="A47" s="922" t="str">
        <f>A21</f>
        <v>Dirigenti/soci</v>
      </c>
      <c r="B47" t="str">
        <f>B22</f>
        <v>Invalidità</v>
      </c>
      <c r="C47">
        <f>C22</f>
        <v>0</v>
      </c>
      <c r="D47">
        <f>D22</f>
        <v>200000</v>
      </c>
      <c r="E47">
        <f>E22</f>
        <v>200000</v>
      </c>
      <c r="G47">
        <f>G22</f>
        <v>200000</v>
      </c>
      <c r="I47" s="917" t="str">
        <f>A47</f>
        <v>Dirigenti/soci</v>
      </c>
      <c r="J47" s="540" t="str">
        <f t="shared" si="1"/>
        <v>Invalidità</v>
      </c>
      <c r="K47" s="540">
        <f t="shared" si="1"/>
        <v>0</v>
      </c>
      <c r="L47" s="540">
        <f t="shared" si="2"/>
        <v>200000</v>
      </c>
      <c r="N47" s="916" t="str">
        <f>I47</f>
        <v>Dirigenti/soci</v>
      </c>
      <c r="O47" s="540" t="str">
        <f t="shared" si="3"/>
        <v>Invalidità</v>
      </c>
      <c r="P47" s="540">
        <f t="shared" si="4"/>
        <v>200000</v>
      </c>
      <c r="Q47" s="540">
        <f t="shared" si="10"/>
        <v>0</v>
      </c>
    </row>
    <row r="48" spans="1:17" x14ac:dyDescent="0.25">
      <c r="A48" s="923"/>
      <c r="B48" s="786" t="str">
        <f>B21</f>
        <v>Decesso</v>
      </c>
      <c r="C48" s="790">
        <f>C21</f>
        <v>0</v>
      </c>
      <c r="D48" s="790">
        <f>D21</f>
        <v>200000</v>
      </c>
      <c r="E48" s="786">
        <f>E21</f>
        <v>200000</v>
      </c>
      <c r="F48" s="786">
        <f t="shared" ref="F48" si="11">F20</f>
        <v>0</v>
      </c>
      <c r="G48" s="790">
        <f>G21</f>
        <v>200000</v>
      </c>
      <c r="I48" s="917"/>
      <c r="J48" s="540" t="str">
        <f>B48</f>
        <v>Decesso</v>
      </c>
      <c r="K48" s="540">
        <f t="shared" si="1"/>
        <v>0</v>
      </c>
      <c r="L48" s="540">
        <f>E48</f>
        <v>200000</v>
      </c>
      <c r="N48" s="917"/>
      <c r="O48" s="540" t="str">
        <f>J48</f>
        <v>Decesso</v>
      </c>
      <c r="P48" s="540">
        <f t="shared" si="4"/>
        <v>200000</v>
      </c>
      <c r="Q48" s="540">
        <f t="shared" si="10"/>
        <v>0</v>
      </c>
    </row>
    <row r="49" spans="1:17" x14ac:dyDescent="0.25">
      <c r="A49" s="923" t="str">
        <f>A19</f>
        <v>Protezione Giuridica</v>
      </c>
      <c r="B49" s="786" t="str">
        <f>B20</f>
        <v>Contrattuale</v>
      </c>
      <c r="C49" s="790">
        <f>C20</f>
        <v>0</v>
      </c>
      <c r="D49" s="790">
        <f>D20</f>
        <v>250000</v>
      </c>
      <c r="E49">
        <f>E20</f>
        <v>0</v>
      </c>
      <c r="F49" s="789"/>
      <c r="G49" s="787">
        <f>G20</f>
        <v>0</v>
      </c>
      <c r="I49" s="917" t="str">
        <f>A49</f>
        <v>Protezione Giuridica</v>
      </c>
      <c r="J49" s="540" t="str">
        <f>B49</f>
        <v>Contrattuale</v>
      </c>
      <c r="K49" s="540">
        <f t="shared" si="1"/>
        <v>0</v>
      </c>
      <c r="L49" s="540">
        <f>E49</f>
        <v>0</v>
      </c>
      <c r="N49" s="917" t="str">
        <f>I49</f>
        <v>Protezione Giuridica</v>
      </c>
      <c r="O49" s="540" t="str">
        <f>J49</f>
        <v>Contrattuale</v>
      </c>
      <c r="P49" s="540">
        <f t="shared" si="4"/>
        <v>250000</v>
      </c>
      <c r="Q49" s="540"/>
    </row>
    <row r="50" spans="1:17" x14ac:dyDescent="0.25">
      <c r="A50" s="924"/>
      <c r="B50" t="str">
        <f>B19</f>
        <v>Extracontrattuale</v>
      </c>
      <c r="C50">
        <f>C19</f>
        <v>0</v>
      </c>
      <c r="D50">
        <f>D19</f>
        <v>250000</v>
      </c>
      <c r="E50">
        <f>E19</f>
        <v>250000</v>
      </c>
      <c r="G50">
        <f>G19</f>
        <v>250000</v>
      </c>
      <c r="I50" s="917"/>
      <c r="J50" s="540" t="str">
        <f t="shared" si="1"/>
        <v>Extracontrattuale</v>
      </c>
      <c r="K50" s="540">
        <f t="shared" si="1"/>
        <v>0</v>
      </c>
      <c r="L50" s="540">
        <f t="shared" si="2"/>
        <v>250000</v>
      </c>
      <c r="N50" s="921"/>
      <c r="O50" s="540" t="str">
        <f t="shared" si="3"/>
        <v>Extracontrattuale</v>
      </c>
      <c r="P50" s="540">
        <f t="shared" si="4"/>
        <v>250000</v>
      </c>
      <c r="Q50" s="540">
        <f t="shared" si="10"/>
        <v>0</v>
      </c>
    </row>
    <row r="51" spans="1:17" x14ac:dyDescent="0.25">
      <c r="A51" s="922" t="str">
        <f>A16</f>
        <v>Responsabilità Civile</v>
      </c>
      <c r="B51" t="str">
        <f>B18</f>
        <v>Stabile</v>
      </c>
      <c r="C51">
        <f>C18</f>
        <v>0</v>
      </c>
      <c r="D51">
        <f>D18</f>
        <v>1000000</v>
      </c>
      <c r="E51">
        <f>E18</f>
        <v>1000000</v>
      </c>
      <c r="G51">
        <f>G18</f>
        <v>1000000</v>
      </c>
      <c r="I51" s="917" t="str">
        <f>N51</f>
        <v>Responsabilità Civile</v>
      </c>
      <c r="J51" s="540" t="str">
        <f t="shared" si="1"/>
        <v>Stabile</v>
      </c>
      <c r="K51" s="540">
        <f t="shared" si="1"/>
        <v>0</v>
      </c>
      <c r="L51" s="540">
        <f t="shared" si="2"/>
        <v>1000000</v>
      </c>
      <c r="N51" s="916" t="str">
        <f>A51</f>
        <v>Responsabilità Civile</v>
      </c>
      <c r="O51" s="540" t="str">
        <f t="shared" si="3"/>
        <v>Stabile</v>
      </c>
      <c r="P51" s="540">
        <f t="shared" si="4"/>
        <v>1000000</v>
      </c>
      <c r="Q51" s="540">
        <f t="shared" si="10"/>
        <v>0</v>
      </c>
    </row>
    <row r="52" spans="1:17" x14ac:dyDescent="0.25">
      <c r="A52" s="923"/>
      <c r="B52" t="str">
        <f>B17</f>
        <v>Professionale</v>
      </c>
      <c r="C52">
        <f>C17</f>
        <v>0</v>
      </c>
      <c r="D52">
        <f>D17</f>
        <v>0</v>
      </c>
      <c r="E52">
        <f>E17</f>
        <v>0</v>
      </c>
      <c r="G52">
        <f>G17</f>
        <v>0</v>
      </c>
      <c r="I52" s="917"/>
      <c r="J52" s="540" t="str">
        <f t="shared" si="1"/>
        <v>Professionale</v>
      </c>
      <c r="K52" s="540">
        <f t="shared" si="1"/>
        <v>0</v>
      </c>
      <c r="L52" s="540">
        <f t="shared" si="2"/>
        <v>0</v>
      </c>
      <c r="N52" s="917"/>
      <c r="O52" s="540" t="str">
        <f t="shared" si="3"/>
        <v>Professionale</v>
      </c>
      <c r="P52" s="540">
        <f t="shared" si="4"/>
        <v>0</v>
      </c>
      <c r="Q52" s="540">
        <f t="shared" si="10"/>
        <v>0</v>
      </c>
    </row>
    <row r="53" spans="1:17" x14ac:dyDescent="0.25">
      <c r="A53" s="924"/>
      <c r="B53" t="str">
        <f>B16</f>
        <v>Impresa</v>
      </c>
      <c r="C53">
        <f>C16</f>
        <v>1000000</v>
      </c>
      <c r="D53">
        <f>D16</f>
        <v>1000000</v>
      </c>
      <c r="E53">
        <f>E16</f>
        <v>0</v>
      </c>
      <c r="G53">
        <f>G16</f>
        <v>1000000</v>
      </c>
      <c r="I53" s="921"/>
      <c r="J53" s="540" t="str">
        <f t="shared" si="1"/>
        <v>Impresa</v>
      </c>
      <c r="K53" s="540">
        <f t="shared" si="1"/>
        <v>1000000</v>
      </c>
      <c r="L53" s="540">
        <f t="shared" si="2"/>
        <v>0</v>
      </c>
      <c r="N53" s="921"/>
      <c r="O53" s="540" t="str">
        <f t="shared" si="3"/>
        <v>Impresa</v>
      </c>
      <c r="P53" s="540">
        <f t="shared" si="4"/>
        <v>1000000</v>
      </c>
      <c r="Q53" s="540">
        <f t="shared" si="10"/>
        <v>0</v>
      </c>
    </row>
    <row r="54" spans="1:17" x14ac:dyDescent="0.25">
      <c r="A54" s="922" t="str">
        <f>A14</f>
        <v>Trasp.</v>
      </c>
      <c r="B54" t="str">
        <f>B15</f>
        <v>Trasporti (RC)</v>
      </c>
      <c r="C54" s="787">
        <f>C15</f>
        <v>0</v>
      </c>
      <c r="D54" s="787">
        <f>D15</f>
        <v>0</v>
      </c>
      <c r="E54">
        <f>E15</f>
        <v>0</v>
      </c>
      <c r="G54" s="787">
        <f>G15</f>
        <v>0</v>
      </c>
      <c r="I54" s="916" t="str">
        <f>N54</f>
        <v>Trasp.</v>
      </c>
      <c r="J54" s="540" t="str">
        <f t="shared" ref="J54:K65" si="12">B54</f>
        <v>Trasporti (RC)</v>
      </c>
      <c r="K54" s="540">
        <f t="shared" si="12"/>
        <v>0</v>
      </c>
      <c r="L54" s="540">
        <f t="shared" si="2"/>
        <v>0</v>
      </c>
      <c r="N54" s="916" t="str">
        <f>A54</f>
        <v>Trasp.</v>
      </c>
      <c r="O54" s="540" t="str">
        <f t="shared" ref="O54:O65" si="13">J54</f>
        <v>Trasporti (RC)</v>
      </c>
      <c r="P54" s="540">
        <f t="shared" si="4"/>
        <v>0</v>
      </c>
      <c r="Q54" s="540">
        <f t="shared" si="10"/>
        <v>0</v>
      </c>
    </row>
    <row r="55" spans="1:17" x14ac:dyDescent="0.25">
      <c r="A55" s="924"/>
      <c r="B55" t="str">
        <f>B14</f>
        <v>Trasporti(Cose)</v>
      </c>
      <c r="C55" s="787">
        <f>C14</f>
        <v>0</v>
      </c>
      <c r="D55" s="787">
        <f>D14</f>
        <v>0</v>
      </c>
      <c r="E55">
        <f>E14</f>
        <v>0</v>
      </c>
      <c r="G55" s="787">
        <f>G14</f>
        <v>0</v>
      </c>
      <c r="I55" s="921"/>
      <c r="J55" s="540" t="str">
        <f t="shared" si="12"/>
        <v>Trasporti(Cose)</v>
      </c>
      <c r="K55" s="540">
        <f t="shared" si="12"/>
        <v>0</v>
      </c>
      <c r="L55" s="540"/>
      <c r="N55" s="921"/>
      <c r="O55" s="540" t="str">
        <f t="shared" si="13"/>
        <v>Trasporti(Cose)</v>
      </c>
      <c r="P55" s="540">
        <f t="shared" si="4"/>
        <v>0</v>
      </c>
      <c r="Q55" s="540"/>
    </row>
    <row r="56" spans="1:17" x14ac:dyDescent="0.25">
      <c r="A56" s="918" t="str">
        <f>A8</f>
        <v>Beni mobili</v>
      </c>
      <c r="B56" t="str">
        <f>B13</f>
        <v>Danni di ripercussione</v>
      </c>
      <c r="C56">
        <f>C13</f>
        <v>100000</v>
      </c>
      <c r="D56">
        <f>D13</f>
        <v>100000</v>
      </c>
      <c r="E56">
        <f>E13</f>
        <v>0</v>
      </c>
      <c r="G56">
        <f>G13</f>
        <v>100000</v>
      </c>
      <c r="I56" s="925" t="str">
        <f>N56</f>
        <v>Beni mobili</v>
      </c>
      <c r="J56" s="540" t="str">
        <f t="shared" si="12"/>
        <v>Danni di ripercussione</v>
      </c>
      <c r="K56" s="540">
        <f t="shared" si="12"/>
        <v>100000</v>
      </c>
      <c r="L56" s="540">
        <f t="shared" si="2"/>
        <v>0</v>
      </c>
      <c r="N56" s="925" t="str">
        <f>A56</f>
        <v>Beni mobili</v>
      </c>
      <c r="O56" s="540" t="str">
        <f t="shared" si="13"/>
        <v>Danni di ripercussione</v>
      </c>
      <c r="P56" s="540">
        <f t="shared" si="4"/>
        <v>100000</v>
      </c>
      <c r="Q56" s="540">
        <f t="shared" si="10"/>
        <v>0</v>
      </c>
    </row>
    <row r="57" spans="1:17" x14ac:dyDescent="0.25">
      <c r="A57" s="919"/>
      <c r="B57" t="str">
        <f>B12</f>
        <v>Perdita di esercizio</v>
      </c>
      <c r="C57">
        <f>C12</f>
        <v>50000</v>
      </c>
      <c r="D57">
        <f>D12</f>
        <v>50000</v>
      </c>
      <c r="E57">
        <f>E12</f>
        <v>0</v>
      </c>
      <c r="G57">
        <f>G12</f>
        <v>50000</v>
      </c>
      <c r="I57" s="926"/>
      <c r="J57" s="540" t="str">
        <f t="shared" si="12"/>
        <v>Perdita di esercizio</v>
      </c>
      <c r="K57" s="540">
        <f t="shared" si="12"/>
        <v>50000</v>
      </c>
      <c r="L57" s="540">
        <f t="shared" si="2"/>
        <v>0</v>
      </c>
      <c r="N57" s="926"/>
      <c r="O57" s="540" t="str">
        <f t="shared" si="13"/>
        <v>Perdita di esercizio</v>
      </c>
      <c r="P57" s="540">
        <f t="shared" si="4"/>
        <v>50000</v>
      </c>
      <c r="Q57" s="540">
        <f t="shared" si="10"/>
        <v>0</v>
      </c>
    </row>
    <row r="58" spans="1:17" x14ac:dyDescent="0.25">
      <c r="A58" s="919"/>
      <c r="B58" t="str">
        <f>B11</f>
        <v>Furto</v>
      </c>
      <c r="C58">
        <f>C11</f>
        <v>20000</v>
      </c>
      <c r="D58">
        <f>D11</f>
        <v>20000</v>
      </c>
      <c r="E58">
        <f>E11</f>
        <v>0</v>
      </c>
      <c r="G58">
        <f>G11</f>
        <v>20000</v>
      </c>
      <c r="I58" s="926"/>
      <c r="J58" s="540" t="str">
        <f t="shared" si="12"/>
        <v>Furto</v>
      </c>
      <c r="K58" s="540">
        <f t="shared" si="12"/>
        <v>20000</v>
      </c>
      <c r="L58" s="540">
        <f t="shared" si="2"/>
        <v>0</v>
      </c>
      <c r="N58" s="926"/>
      <c r="O58" s="540" t="str">
        <f t="shared" si="13"/>
        <v>Furto</v>
      </c>
      <c r="P58" s="540">
        <f t="shared" si="4"/>
        <v>20000</v>
      </c>
      <c r="Q58" s="540">
        <f t="shared" si="10"/>
        <v>0</v>
      </c>
    </row>
    <row r="59" spans="1:17" x14ac:dyDescent="0.25">
      <c r="A59" s="919"/>
      <c r="B59" t="str">
        <f>B10</f>
        <v>Rottura vetri</v>
      </c>
      <c r="C59">
        <f>C10</f>
        <v>5000</v>
      </c>
      <c r="D59">
        <f>D10</f>
        <v>5000</v>
      </c>
      <c r="E59">
        <f>E10</f>
        <v>0</v>
      </c>
      <c r="G59">
        <f>G10</f>
        <v>5000</v>
      </c>
      <c r="I59" s="926"/>
      <c r="J59" s="540" t="str">
        <f t="shared" si="12"/>
        <v>Rottura vetri</v>
      </c>
      <c r="K59" s="540">
        <f t="shared" si="12"/>
        <v>5000</v>
      </c>
      <c r="L59" s="540">
        <f t="shared" si="2"/>
        <v>0</v>
      </c>
      <c r="N59" s="926"/>
      <c r="O59" s="540" t="str">
        <f t="shared" si="13"/>
        <v>Rottura vetri</v>
      </c>
      <c r="P59" s="540">
        <f t="shared" si="4"/>
        <v>5000</v>
      </c>
      <c r="Q59" s="540">
        <f t="shared" si="10"/>
        <v>0</v>
      </c>
    </row>
    <row r="60" spans="1:17" x14ac:dyDescent="0.25">
      <c r="A60" s="919"/>
      <c r="B60" t="str">
        <f>B9</f>
        <v>Danni acque</v>
      </c>
      <c r="C60">
        <f>C9</f>
        <v>40000</v>
      </c>
      <c r="D60">
        <f>D9</f>
        <v>50000</v>
      </c>
      <c r="E60">
        <f>E9</f>
        <v>10000</v>
      </c>
      <c r="G60">
        <f>G9</f>
        <v>50000</v>
      </c>
      <c r="I60" s="926"/>
      <c r="J60" s="540" t="str">
        <f t="shared" si="12"/>
        <v>Danni acque</v>
      </c>
      <c r="K60" s="540">
        <f t="shared" si="12"/>
        <v>40000</v>
      </c>
      <c r="L60" s="540">
        <f t="shared" si="2"/>
        <v>10000</v>
      </c>
      <c r="N60" s="926"/>
      <c r="O60" s="540" t="str">
        <f t="shared" si="13"/>
        <v>Danni acque</v>
      </c>
      <c r="P60" s="540">
        <f t="shared" si="4"/>
        <v>50000</v>
      </c>
      <c r="Q60" s="540">
        <f t="shared" si="10"/>
        <v>0</v>
      </c>
    </row>
    <row r="61" spans="1:17" x14ac:dyDescent="0.25">
      <c r="A61" s="920"/>
      <c r="B61" t="str">
        <f>B8</f>
        <v>Incendio/Natura</v>
      </c>
      <c r="C61">
        <f>C8</f>
        <v>40000</v>
      </c>
      <c r="D61">
        <f>D8</f>
        <v>50000</v>
      </c>
      <c r="E61">
        <f>E8</f>
        <v>10000</v>
      </c>
      <c r="G61">
        <f>G8</f>
        <v>50000</v>
      </c>
      <c r="I61" s="927"/>
      <c r="J61" s="540" t="str">
        <f t="shared" si="12"/>
        <v>Incendio/Natura</v>
      </c>
      <c r="K61" s="540">
        <f t="shared" si="12"/>
        <v>40000</v>
      </c>
      <c r="L61" s="540">
        <f t="shared" si="2"/>
        <v>10000</v>
      </c>
      <c r="N61" s="927"/>
      <c r="O61" s="540" t="str">
        <f t="shared" si="13"/>
        <v>Incendio/Natura</v>
      </c>
      <c r="P61" s="540">
        <f t="shared" si="4"/>
        <v>50000</v>
      </c>
      <c r="Q61" s="540">
        <f t="shared" si="10"/>
        <v>0</v>
      </c>
    </row>
    <row r="62" spans="1:17" x14ac:dyDescent="0.25">
      <c r="A62" s="922" t="str">
        <f>A4</f>
        <v>Stabili</v>
      </c>
      <c r="B62" t="str">
        <f>B7</f>
        <v>Furto</v>
      </c>
      <c r="C62">
        <f>C7</f>
        <v>10000</v>
      </c>
      <c r="D62">
        <f>D7</f>
        <v>20000</v>
      </c>
      <c r="E62">
        <f>E7</f>
        <v>10000</v>
      </c>
      <c r="G62">
        <f>G7</f>
        <v>20000</v>
      </c>
      <c r="I62" s="916" t="str">
        <f>N62</f>
        <v>Stabili</v>
      </c>
      <c r="J62" s="540" t="str">
        <f t="shared" si="12"/>
        <v>Furto</v>
      </c>
      <c r="K62" s="540">
        <f t="shared" si="12"/>
        <v>10000</v>
      </c>
      <c r="L62" s="540">
        <f t="shared" si="2"/>
        <v>10000</v>
      </c>
      <c r="N62" s="916" t="str">
        <f>A62</f>
        <v>Stabili</v>
      </c>
      <c r="O62" s="540" t="str">
        <f t="shared" si="13"/>
        <v>Furto</v>
      </c>
      <c r="P62" s="540">
        <f t="shared" si="4"/>
        <v>20000</v>
      </c>
      <c r="Q62" s="540">
        <f t="shared" si="10"/>
        <v>0</v>
      </c>
    </row>
    <row r="63" spans="1:17" x14ac:dyDescent="0.25">
      <c r="A63" s="923"/>
      <c r="B63" t="str">
        <f>B6</f>
        <v>Rottura vetri</v>
      </c>
      <c r="C63">
        <f>C6</f>
        <v>5000</v>
      </c>
      <c r="D63">
        <f>D6</f>
        <v>10000</v>
      </c>
      <c r="E63">
        <f>E6</f>
        <v>5000</v>
      </c>
      <c r="G63">
        <f>G6</f>
        <v>10000</v>
      </c>
      <c r="I63" s="917"/>
      <c r="J63" s="540" t="str">
        <f t="shared" si="12"/>
        <v>Rottura vetri</v>
      </c>
      <c r="K63" s="540">
        <f t="shared" si="12"/>
        <v>5000</v>
      </c>
      <c r="L63" s="540">
        <f t="shared" si="2"/>
        <v>5000</v>
      </c>
      <c r="N63" s="917"/>
      <c r="O63" s="540" t="str">
        <f t="shared" si="13"/>
        <v>Rottura vetri</v>
      </c>
      <c r="P63" s="540">
        <f t="shared" si="4"/>
        <v>10000</v>
      </c>
      <c r="Q63" s="540">
        <f t="shared" si="10"/>
        <v>0</v>
      </c>
    </row>
    <row r="64" spans="1:17" x14ac:dyDescent="0.25">
      <c r="A64" s="923"/>
      <c r="B64" t="str">
        <f>B5</f>
        <v>Danni acque</v>
      </c>
      <c r="C64">
        <f>C5</f>
        <v>100000</v>
      </c>
      <c r="D64">
        <f>D5</f>
        <v>500000</v>
      </c>
      <c r="E64">
        <f>E5</f>
        <v>400000</v>
      </c>
      <c r="G64">
        <f>G5</f>
        <v>500000</v>
      </c>
      <c r="I64" s="917"/>
      <c r="J64" s="540" t="str">
        <f t="shared" si="12"/>
        <v>Danni acque</v>
      </c>
      <c r="K64" s="540">
        <f t="shared" si="12"/>
        <v>100000</v>
      </c>
      <c r="L64" s="540">
        <f t="shared" si="2"/>
        <v>400000</v>
      </c>
      <c r="N64" s="917"/>
      <c r="O64" s="540" t="str">
        <f t="shared" si="13"/>
        <v>Danni acque</v>
      </c>
      <c r="P64" s="540">
        <f t="shared" si="4"/>
        <v>500000</v>
      </c>
      <c r="Q64" s="540">
        <f t="shared" si="10"/>
        <v>0</v>
      </c>
    </row>
    <row r="65" spans="1:17" x14ac:dyDescent="0.25">
      <c r="A65" s="924"/>
      <c r="B65" t="str">
        <f>B4</f>
        <v>Incendio/Natura</v>
      </c>
      <c r="C65">
        <f>C4</f>
        <v>100000</v>
      </c>
      <c r="D65">
        <f>D4</f>
        <v>500000</v>
      </c>
      <c r="E65">
        <f>E4</f>
        <v>400000</v>
      </c>
      <c r="G65">
        <f>G4</f>
        <v>500000</v>
      </c>
      <c r="I65" s="921"/>
      <c r="J65" s="540" t="str">
        <f t="shared" si="12"/>
        <v>Incendio/Natura</v>
      </c>
      <c r="K65" s="540">
        <f t="shared" si="12"/>
        <v>100000</v>
      </c>
      <c r="L65" s="540">
        <f t="shared" si="2"/>
        <v>400000</v>
      </c>
      <c r="N65" s="921"/>
      <c r="O65" s="540" t="str">
        <f t="shared" si="13"/>
        <v>Incendio/Natura</v>
      </c>
      <c r="P65" s="540">
        <f t="shared" si="4"/>
        <v>500000</v>
      </c>
      <c r="Q65" s="540">
        <f t="shared" si="10"/>
        <v>0</v>
      </c>
    </row>
  </sheetData>
  <mergeCells count="38">
    <mergeCell ref="A8:A13"/>
    <mergeCell ref="A4:A7"/>
    <mergeCell ref="A16:A18"/>
    <mergeCell ref="A19:A20"/>
    <mergeCell ref="A21:A22"/>
    <mergeCell ref="A23:A26"/>
    <mergeCell ref="A27:A31"/>
    <mergeCell ref="A32:A33"/>
    <mergeCell ref="A14:A15"/>
    <mergeCell ref="A54:A55"/>
    <mergeCell ref="A36:A37"/>
    <mergeCell ref="A38:A42"/>
    <mergeCell ref="A43:A46"/>
    <mergeCell ref="A47:A48"/>
    <mergeCell ref="A62:A65"/>
    <mergeCell ref="N56:N61"/>
    <mergeCell ref="N62:N65"/>
    <mergeCell ref="A49:A50"/>
    <mergeCell ref="A51:A53"/>
    <mergeCell ref="N51:N53"/>
    <mergeCell ref="I62:I65"/>
    <mergeCell ref="I56:I61"/>
    <mergeCell ref="I51:I53"/>
    <mergeCell ref="I49:I50"/>
    <mergeCell ref="N54:N55"/>
    <mergeCell ref="I54:I55"/>
    <mergeCell ref="N49:N50"/>
    <mergeCell ref="I34:L34"/>
    <mergeCell ref="N34:Q34"/>
    <mergeCell ref="I36:I37"/>
    <mergeCell ref="I38:I42"/>
    <mergeCell ref="A56:A61"/>
    <mergeCell ref="I43:I46"/>
    <mergeCell ref="I47:I48"/>
    <mergeCell ref="N36:N37"/>
    <mergeCell ref="N38:N42"/>
    <mergeCell ref="N43:N46"/>
    <mergeCell ref="N47:N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4C3AB-DE76-432A-A34D-B7ADC9EB562D}">
  <sheetPr codeName="Foglio6"/>
  <dimension ref="A1:K194"/>
  <sheetViews>
    <sheetView showGridLines="0" showRowColHeaders="0" tabSelected="1" zoomScale="120" zoomScaleNormal="120" workbookViewId="0">
      <selection activeCell="B3" sqref="B3:C3"/>
    </sheetView>
  </sheetViews>
  <sheetFormatPr defaultColWidth="9.1796875" defaultRowHeight="12.5" x14ac:dyDescent="0.25"/>
  <cols>
    <col min="1" max="1" width="29" style="90" customWidth="1"/>
    <col min="2" max="9" width="12.6328125" style="90" customWidth="1"/>
    <col min="10" max="16384" width="9.1796875" style="90"/>
  </cols>
  <sheetData>
    <row r="1" spans="1:9" ht="60" customHeight="1" thickBot="1" x14ac:dyDescent="1.25">
      <c r="A1" s="1004" t="str">
        <f>Traduzioni!G5</f>
        <v>ANALISI DEL FABBISOGNO</v>
      </c>
      <c r="B1" s="1004"/>
      <c r="C1" s="1004"/>
      <c r="D1" s="1004"/>
      <c r="E1" s="1004"/>
      <c r="F1" s="1004"/>
      <c r="G1" s="1004"/>
      <c r="H1" s="1004"/>
      <c r="I1" s="1004"/>
    </row>
    <row r="2" spans="1:9" ht="16.5" customHeight="1" x14ac:dyDescent="0.25">
      <c r="A2" s="687" t="str">
        <f>Traduzioni!G6</f>
        <v>versione</v>
      </c>
      <c r="B2" s="688">
        <v>2025</v>
      </c>
      <c r="C2" s="689" t="s">
        <v>4553</v>
      </c>
      <c r="D2" s="1005"/>
      <c r="E2" s="1005"/>
      <c r="F2" s="1005"/>
      <c r="G2" s="1005"/>
      <c r="H2" s="1005"/>
      <c r="I2" s="1006"/>
    </row>
    <row r="3" spans="1:9" ht="16.5" customHeight="1" x14ac:dyDescent="0.25">
      <c r="A3" s="665" t="str">
        <f>Traduzioni!G495</f>
        <v>Consulente</v>
      </c>
      <c r="B3" s="1056"/>
      <c r="C3" s="1057"/>
      <c r="D3" s="1007"/>
      <c r="E3" s="1007"/>
      <c r="F3" s="1007"/>
      <c r="G3" s="1007"/>
      <c r="H3" s="1007"/>
      <c r="I3" s="1008"/>
    </row>
    <row r="4" spans="1:9" ht="25" customHeight="1" thickBot="1" x14ac:dyDescent="0.3">
      <c r="A4" s="869" t="s">
        <v>4536</v>
      </c>
      <c r="B4" s="1051" t="s">
        <v>481</v>
      </c>
      <c r="C4" s="1052"/>
      <c r="D4" s="1007"/>
      <c r="E4" s="1007"/>
      <c r="F4" s="1007"/>
      <c r="G4" s="1007"/>
      <c r="H4" s="1007"/>
      <c r="I4" s="1008"/>
    </row>
    <row r="5" spans="1:9" ht="16.5" customHeight="1" x14ac:dyDescent="0.25">
      <c r="A5" s="1044" t="str">
        <f>Traduzioni!G7</f>
        <v>Dati obbligatori per ogni argomento</v>
      </c>
      <c r="B5" s="1045"/>
      <c r="C5" s="1046"/>
      <c r="D5" s="1007"/>
      <c r="E5" s="1007"/>
      <c r="F5" s="1007"/>
      <c r="G5" s="1007"/>
      <c r="H5" s="1007"/>
      <c r="I5" s="1008"/>
    </row>
    <row r="6" spans="1:9" ht="16.5" customHeight="1" x14ac:dyDescent="0.25">
      <c r="A6" s="1041" t="str">
        <f>Traduzioni!G8</f>
        <v>Dati obbligatori per singolo argomento</v>
      </c>
      <c r="B6" s="1042"/>
      <c r="C6" s="1043"/>
      <c r="D6" s="1007"/>
      <c r="E6" s="1007"/>
      <c r="F6" s="1007"/>
      <c r="G6" s="1007"/>
      <c r="H6" s="1007"/>
      <c r="I6" s="1008"/>
    </row>
    <row r="7" spans="1:9" ht="16.5" customHeight="1" x14ac:dyDescent="0.25">
      <c r="A7" s="668" t="str">
        <f>Traduzioni!G9</f>
        <v>Dati facoltativi generali per una maggiore precisione (in alternativa vengono calcolati dal sistema)</v>
      </c>
      <c r="B7" s="663"/>
      <c r="C7" s="664"/>
      <c r="D7" s="1007"/>
      <c r="E7" s="1007"/>
      <c r="F7" s="1007"/>
      <c r="G7" s="1007"/>
      <c r="H7" s="1007"/>
      <c r="I7" s="1008"/>
    </row>
    <row r="8" spans="1:9" ht="16.5" customHeight="1" thickBot="1" x14ac:dyDescent="0.3">
      <c r="A8" s="1053" t="str">
        <f>Traduzioni!G10</f>
        <v>Dati facoltativi per una maggior precisione in ogni singolo argomento</v>
      </c>
      <c r="B8" s="1054"/>
      <c r="C8" s="1055"/>
      <c r="D8" s="1009"/>
      <c r="E8" s="1009"/>
      <c r="F8" s="1009"/>
      <c r="G8" s="1009"/>
      <c r="H8" s="1009"/>
      <c r="I8" s="1010"/>
    </row>
    <row r="9" spans="1:9" ht="60" customHeight="1" thickBot="1" x14ac:dyDescent="0.85">
      <c r="A9" s="955" t="str">
        <f>Traduzioni!G11</f>
        <v xml:space="preserve">SOGNI E OBIETTIVI </v>
      </c>
      <c r="B9" s="955"/>
      <c r="C9" s="955"/>
      <c r="D9" s="955"/>
      <c r="E9" s="955"/>
      <c r="F9" s="955"/>
      <c r="G9" s="955"/>
      <c r="H9" s="955"/>
      <c r="I9" s="955"/>
    </row>
    <row r="10" spans="1:9" ht="25" customHeight="1" x14ac:dyDescent="0.25">
      <c r="A10" s="1047" t="str">
        <f>Traduzioni!G12</f>
        <v>Godere della sicurezza finanziaria, qualunque cosa accada</v>
      </c>
      <c r="B10" s="1048"/>
      <c r="C10" s="683" t="s">
        <v>512</v>
      </c>
      <c r="D10" s="1011" t="str">
        <f>Traduzioni!G543</f>
        <v>Quando è stata l'ultima volta che ha verificato la sua situazione assicurativa, anche in relazione alle assicurazioni sociali?</v>
      </c>
      <c r="E10" s="1012"/>
      <c r="F10" s="1013"/>
      <c r="G10" s="1026"/>
      <c r="H10" s="1027"/>
      <c r="I10" s="1028"/>
    </row>
    <row r="11" spans="1:9" ht="25" customHeight="1" x14ac:dyDescent="0.25">
      <c r="A11" s="1058" t="str">
        <f>Traduzioni!G14</f>
        <v>Godere della libertà finanziaria in età avanzata</v>
      </c>
      <c r="B11" s="1059"/>
      <c r="C11" s="684" t="s">
        <v>512</v>
      </c>
      <c r="D11" s="1014"/>
      <c r="E11" s="1015"/>
      <c r="F11" s="1016"/>
      <c r="G11" s="1029"/>
      <c r="H11" s="1030"/>
      <c r="I11" s="1031"/>
    </row>
    <row r="12" spans="1:9" ht="25" customHeight="1" x14ac:dyDescent="0.25">
      <c r="A12" s="1049" t="str">
        <f>Traduzioni!G15</f>
        <v>Sicurezza per Famiglia, Partner e Figli</v>
      </c>
      <c r="B12" s="1050"/>
      <c r="C12" s="685" t="s">
        <v>512</v>
      </c>
      <c r="D12" s="1017" t="str">
        <f>Traduzioni!G544</f>
        <v>Qual è stato il motivo di questa verifica?</v>
      </c>
      <c r="E12" s="1018"/>
      <c r="F12" s="1019"/>
      <c r="G12" s="1032"/>
      <c r="H12" s="1033"/>
      <c r="I12" s="1034"/>
    </row>
    <row r="13" spans="1:9" ht="25" customHeight="1" x14ac:dyDescent="0.25">
      <c r="A13" s="1060" t="str">
        <f>Traduzioni!G16</f>
        <v>Vantaggi fiscali</v>
      </c>
      <c r="B13" s="1061"/>
      <c r="C13" s="684" t="s">
        <v>512</v>
      </c>
      <c r="D13" s="1017" t="str">
        <f>Traduzioni!G545</f>
        <v>Qual è stato il risultato?</v>
      </c>
      <c r="E13" s="1018"/>
      <c r="F13" s="1019"/>
      <c r="G13" s="1032"/>
      <c r="H13" s="1033"/>
      <c r="I13" s="1034"/>
    </row>
    <row r="14" spans="1:9" ht="25" customHeight="1" x14ac:dyDescent="0.25">
      <c r="A14" s="1049" t="str">
        <f>Traduzioni!G17</f>
        <v>Costruire e aumentare il patrimonio</v>
      </c>
      <c r="B14" s="1050"/>
      <c r="C14" s="685" t="s">
        <v>512</v>
      </c>
      <c r="D14" s="1017" t="str">
        <f>Traduzioni!G546</f>
        <v>Qual è stata la ragione per cui ha deciso di esaminare la situazione?</v>
      </c>
      <c r="E14" s="1018"/>
      <c r="F14" s="1019"/>
      <c r="G14" s="1032"/>
      <c r="H14" s="1033"/>
      <c r="I14" s="1034"/>
    </row>
    <row r="15" spans="1:9" ht="25" customHeight="1" x14ac:dyDescent="0.25">
      <c r="A15" s="1060" t="str">
        <f>Traduzioni!G13</f>
        <v>Acquistare e mantenere un abitazione di proprietà</v>
      </c>
      <c r="B15" s="1061"/>
      <c r="C15" s="684" t="s">
        <v>512</v>
      </c>
      <c r="D15" s="1020" t="str">
        <f>Traduzioni!G547</f>
        <v>Cosa è importante per lei nell'attuale verifica della sua situazione assicurativa?</v>
      </c>
      <c r="E15" s="1021"/>
      <c r="F15" s="1022"/>
      <c r="G15" s="1035"/>
      <c r="H15" s="1036"/>
      <c r="I15" s="1037"/>
    </row>
    <row r="16" spans="1:9" ht="25" customHeight="1" thickBot="1" x14ac:dyDescent="0.3">
      <c r="A16" s="1062" t="str">
        <f>Traduzioni!G18</f>
        <v>Assicuraioni generali</v>
      </c>
      <c r="B16" s="1063"/>
      <c r="C16" s="686" t="s">
        <v>512</v>
      </c>
      <c r="D16" s="1023"/>
      <c r="E16" s="1024"/>
      <c r="F16" s="1025"/>
      <c r="G16" s="1038"/>
      <c r="H16" s="1039"/>
      <c r="I16" s="1040"/>
    </row>
    <row r="17" spans="1:9" ht="60" customHeight="1" thickBot="1" x14ac:dyDescent="0.85">
      <c r="A17" s="997" t="str">
        <f>Traduzioni!G20</f>
        <v>PROFILO DEL CLIENTE</v>
      </c>
      <c r="B17" s="997"/>
      <c r="C17" s="997"/>
      <c r="D17" s="997"/>
      <c r="E17" s="997"/>
      <c r="F17" s="997"/>
      <c r="G17" s="997"/>
      <c r="H17" s="997"/>
      <c r="I17" s="997"/>
    </row>
    <row r="18" spans="1:9" ht="18.5" thickBot="1" x14ac:dyDescent="0.45">
      <c r="A18" s="649"/>
      <c r="B18" s="650" t="str">
        <f>Traduzioni!G29</f>
        <v>Cliente</v>
      </c>
      <c r="C18" s="651" t="str">
        <f>Traduzioni!G30</f>
        <v>Partner</v>
      </c>
      <c r="D18" s="1078" t="str">
        <f>Traduzioni!G31</f>
        <v>Note</v>
      </c>
      <c r="E18" s="1078"/>
      <c r="F18" s="1078"/>
      <c r="G18" s="1078"/>
      <c r="H18" s="1078"/>
      <c r="I18" s="1079"/>
    </row>
    <row r="19" spans="1:9" ht="48" customHeight="1" thickBot="1" x14ac:dyDescent="0.3">
      <c r="A19" s="669" t="str">
        <f>Traduzioni!G21</f>
        <v>Cognome e nome</v>
      </c>
      <c r="B19" s="860"/>
      <c r="C19" s="861"/>
      <c r="D19" s="1080"/>
      <c r="E19" s="1080"/>
      <c r="F19" s="1080"/>
      <c r="G19" s="1080"/>
      <c r="H19" s="1080"/>
      <c r="I19" s="1081"/>
    </row>
    <row r="20" spans="1:9" ht="25" customHeight="1" thickBot="1" x14ac:dyDescent="0.35">
      <c r="A20" s="669" t="str">
        <f>Traduzioni!G22</f>
        <v xml:space="preserve">Stato civile (1=singole / 2 = coniugato / 3 = conviv.) </v>
      </c>
      <c r="B20" s="623"/>
      <c r="C20" s="637"/>
      <c r="D20" s="1080"/>
      <c r="E20" s="1080"/>
      <c r="F20" s="1080"/>
      <c r="G20" s="1080"/>
      <c r="H20" s="1080"/>
      <c r="I20" s="1081"/>
    </row>
    <row r="21" spans="1:9" ht="25" customHeight="1" thickBot="1" x14ac:dyDescent="0.3">
      <c r="A21" s="669" t="str">
        <f>Traduzioni!G23</f>
        <v>Data del matrimonio</v>
      </c>
      <c r="B21" s="1088"/>
      <c r="C21" s="1089"/>
      <c r="D21" s="1080"/>
      <c r="E21" s="1080"/>
      <c r="F21" s="1080"/>
      <c r="G21" s="1080"/>
      <c r="H21" s="1080"/>
      <c r="I21" s="1081"/>
    </row>
    <row r="22" spans="1:9" ht="25" customHeight="1" thickBot="1" x14ac:dyDescent="0.3">
      <c r="A22" s="669" t="str">
        <f>Traduzioni!G24</f>
        <v xml:space="preserve">Uomo = 1 / Donna = 0 </v>
      </c>
      <c r="B22" s="701"/>
      <c r="C22" s="702"/>
      <c r="D22" s="1080"/>
      <c r="E22" s="1080"/>
      <c r="F22" s="1080"/>
      <c r="G22" s="1080"/>
      <c r="H22" s="1080"/>
      <c r="I22" s="1081"/>
    </row>
    <row r="23" spans="1:9" ht="25" customHeight="1" thickBot="1" x14ac:dyDescent="0.3">
      <c r="A23" s="669" t="str">
        <f>Traduzioni!G25</f>
        <v>N. Telefono</v>
      </c>
      <c r="B23" s="871"/>
      <c r="C23" s="894"/>
      <c r="D23" s="1110" t="str">
        <f>Traduzioni!G572</f>
        <v>Ha qualcuno che la supporta nelle decisioni finanziarie?</v>
      </c>
      <c r="E23" s="1110"/>
      <c r="F23" s="1110"/>
      <c r="G23" s="1112"/>
      <c r="H23" s="1112"/>
      <c r="I23" s="1113"/>
    </row>
    <row r="24" spans="1:9" ht="25" customHeight="1" thickBot="1" x14ac:dyDescent="0.3">
      <c r="A24" s="669" t="str">
        <f>Traduzioni!G26</f>
        <v>Indirizzo</v>
      </c>
      <c r="B24" s="1082"/>
      <c r="C24" s="1083"/>
      <c r="D24" s="1110"/>
      <c r="E24" s="1110"/>
      <c r="F24" s="1110"/>
      <c r="G24" s="1112"/>
      <c r="H24" s="1112"/>
      <c r="I24" s="1113"/>
    </row>
    <row r="25" spans="1:9" ht="25" customHeight="1" thickBot="1" x14ac:dyDescent="0.3">
      <c r="A25" s="669" t="str">
        <f>Traduzioni!G27</f>
        <v>Email</v>
      </c>
      <c r="B25" s="701"/>
      <c r="C25" s="702"/>
      <c r="D25" s="1110" t="str">
        <f>Traduzioni!G573</f>
        <v>Quanto influisce questa persona sulle decisioni che prende con me?</v>
      </c>
      <c r="E25" s="1110"/>
      <c r="F25" s="1110"/>
      <c r="G25" s="1112"/>
      <c r="H25" s="1112"/>
      <c r="I25" s="1113"/>
    </row>
    <row r="26" spans="1:9" ht="25" customHeight="1" thickBot="1" x14ac:dyDescent="0.35">
      <c r="A26" s="670" t="str">
        <f>Traduzioni!G28</f>
        <v>Data di nascita</v>
      </c>
      <c r="B26" s="635"/>
      <c r="C26" s="636"/>
      <c r="D26" s="1111"/>
      <c r="E26" s="1111"/>
      <c r="F26" s="1111"/>
      <c r="G26" s="1114"/>
      <c r="H26" s="1114"/>
      <c r="I26" s="1115"/>
    </row>
    <row r="27" spans="1:9" ht="16.5" customHeight="1" thickBot="1" x14ac:dyDescent="0.3">
      <c r="A27" s="1084"/>
      <c r="B27" s="1084"/>
      <c r="C27" s="1084"/>
      <c r="D27" s="1084"/>
      <c r="E27" s="1084"/>
      <c r="F27" s="1084"/>
      <c r="G27" s="1084"/>
      <c r="H27" s="1084"/>
      <c r="I27" s="1084"/>
    </row>
    <row r="28" spans="1:9" ht="27" customHeight="1" x14ac:dyDescent="0.3">
      <c r="A28" s="671" t="str">
        <f>Traduzioni!G32</f>
        <v xml:space="preserve">N. figli minorenni o agli studi: </v>
      </c>
      <c r="B28" s="633"/>
      <c r="C28" s="634"/>
      <c r="D28" s="971" t="e" vm="1">
        <v>#VALUE!</v>
      </c>
      <c r="E28" s="971"/>
      <c r="F28" s="971"/>
      <c r="G28" s="971"/>
      <c r="H28" s="971"/>
      <c r="I28" s="972"/>
    </row>
    <row r="29" spans="1:9" ht="29.25" customHeight="1" x14ac:dyDescent="0.25">
      <c r="A29" s="1085" t="str">
        <f>Traduzioni!G33</f>
        <v>Per i figli solo il meglio è sufficiente (Goete)</v>
      </c>
      <c r="B29" s="1086"/>
      <c r="C29" s="1087"/>
      <c r="D29" s="973"/>
      <c r="E29" s="973"/>
      <c r="F29" s="973"/>
      <c r="G29" s="973"/>
      <c r="H29" s="973"/>
      <c r="I29" s="974"/>
    </row>
    <row r="30" spans="1:9" ht="25" customHeight="1" x14ac:dyDescent="0.3">
      <c r="A30" s="672"/>
      <c r="B30" s="674" t="str">
        <f>Traduzioni!G21</f>
        <v>Cognome e nome</v>
      </c>
      <c r="C30" s="675" t="str">
        <f>Traduzioni!G28</f>
        <v>Data di nascita</v>
      </c>
      <c r="D30" s="973"/>
      <c r="E30" s="973"/>
      <c r="F30" s="973"/>
      <c r="G30" s="973"/>
      <c r="H30" s="973"/>
      <c r="I30" s="974"/>
    </row>
    <row r="31" spans="1:9" ht="25" customHeight="1" x14ac:dyDescent="0.25">
      <c r="A31" s="601" t="str">
        <f>Traduzioni!G35</f>
        <v>Primo figlio</v>
      </c>
      <c r="B31" s="871"/>
      <c r="C31" s="872"/>
      <c r="D31" s="973"/>
      <c r="E31" s="973"/>
      <c r="F31" s="973"/>
      <c r="G31" s="973"/>
      <c r="H31" s="973"/>
      <c r="I31" s="974"/>
    </row>
    <row r="32" spans="1:9" ht="25" customHeight="1" x14ac:dyDescent="0.25">
      <c r="A32" s="601" t="str">
        <f>Traduzioni!G36</f>
        <v>Secondo figlio</v>
      </c>
      <c r="B32" s="871"/>
      <c r="C32" s="872"/>
      <c r="D32" s="973"/>
      <c r="E32" s="973"/>
      <c r="F32" s="973"/>
      <c r="G32" s="973"/>
      <c r="H32" s="973"/>
      <c r="I32" s="974"/>
    </row>
    <row r="33" spans="1:9" ht="25" customHeight="1" x14ac:dyDescent="0.25">
      <c r="A33" s="601" t="str">
        <f>Traduzioni!G37</f>
        <v>Terzo figlio</v>
      </c>
      <c r="B33" s="871"/>
      <c r="C33" s="872"/>
      <c r="D33" s="973"/>
      <c r="E33" s="973"/>
      <c r="F33" s="973"/>
      <c r="G33" s="973"/>
      <c r="H33" s="973"/>
      <c r="I33" s="974"/>
    </row>
    <row r="34" spans="1:9" ht="25" customHeight="1" thickBot="1" x14ac:dyDescent="0.3">
      <c r="A34" s="673" t="str">
        <f>Traduzioni!A38</f>
        <v>Ev altri figli</v>
      </c>
      <c r="B34" s="1076"/>
      <c r="C34" s="1077"/>
      <c r="D34" s="975"/>
      <c r="E34" s="975"/>
      <c r="F34" s="975"/>
      <c r="G34" s="975"/>
      <c r="H34" s="975"/>
      <c r="I34" s="976"/>
    </row>
    <row r="35" spans="1:9" ht="16.5" customHeight="1" thickBot="1" x14ac:dyDescent="0.35">
      <c r="A35" s="667"/>
      <c r="B35" s="676" t="str">
        <f>Traduzioni!G29</f>
        <v>Cliente</v>
      </c>
      <c r="C35" s="676" t="str">
        <f>Traduzioni!G30</f>
        <v>Partner</v>
      </c>
      <c r="D35" s="1007"/>
      <c r="E35" s="1007"/>
      <c r="F35" s="1007"/>
      <c r="G35" s="1007"/>
      <c r="H35" s="1007"/>
      <c r="I35" s="1007"/>
    </row>
    <row r="36" spans="1:9" ht="24.75" customHeight="1" x14ac:dyDescent="0.25">
      <c r="A36" s="618" t="str">
        <f>Traduzioni!G39</f>
        <v>Cittadinanza</v>
      </c>
      <c r="B36" s="874"/>
      <c r="C36" s="874"/>
      <c r="D36" s="1116" t="str">
        <f>Traduzioni!G549</f>
        <v>Come si è tutelato contro i rischi di vecchiaia, morte e invalidità?</v>
      </c>
      <c r="E36" s="1116"/>
      <c r="F36" s="1116"/>
      <c r="G36" s="964"/>
      <c r="H36" s="964"/>
      <c r="I36" s="965"/>
    </row>
    <row r="37" spans="1:9" ht="24.75" customHeight="1" x14ac:dyDescent="0.3">
      <c r="A37" s="677" t="str">
        <f>Traduzioni!G40</f>
        <v>Tipo permesso/i</v>
      </c>
      <c r="B37" s="630"/>
      <c r="C37" s="630"/>
      <c r="D37" s="963"/>
      <c r="E37" s="963"/>
      <c r="F37" s="963"/>
      <c r="G37" s="966"/>
      <c r="H37" s="966"/>
      <c r="I37" s="967"/>
    </row>
    <row r="38" spans="1:9" ht="24.75" customHeight="1" x14ac:dyDescent="0.3">
      <c r="A38" s="677" t="str">
        <f>Traduzioni!G41</f>
        <v>Reddito LORDO</v>
      </c>
      <c r="B38" s="630"/>
      <c r="C38" s="630"/>
      <c r="D38" s="963"/>
      <c r="E38" s="963"/>
      <c r="F38" s="963"/>
      <c r="G38" s="966"/>
      <c r="H38" s="966"/>
      <c r="I38" s="967"/>
    </row>
    <row r="39" spans="1:9" ht="24.75" customHeight="1" x14ac:dyDescent="0.3">
      <c r="A39" s="677" t="str">
        <f>A40</f>
        <v>Frequenza x1 o X12 o X13?</v>
      </c>
      <c r="B39" s="630"/>
      <c r="C39" s="630"/>
      <c r="D39" s="963"/>
      <c r="E39" s="963"/>
      <c r="F39" s="963"/>
      <c r="G39" s="966"/>
      <c r="H39" s="966"/>
      <c r="I39" s="967"/>
    </row>
    <row r="40" spans="1:9" ht="24.75" hidden="1" customHeight="1" x14ac:dyDescent="0.3">
      <c r="A40" s="677" t="str">
        <f>Traduzioni!G42</f>
        <v>Frequenza x1 o X12 o X13?</v>
      </c>
      <c r="B40" s="631">
        <f>B39</f>
        <v>0</v>
      </c>
      <c r="C40" s="631">
        <f>C39</f>
        <v>0</v>
      </c>
      <c r="D40" s="679"/>
      <c r="E40" s="679"/>
      <c r="F40" s="679"/>
      <c r="G40" s="878"/>
      <c r="H40" s="878"/>
      <c r="I40" s="879"/>
    </row>
    <row r="41" spans="1:9" ht="24.75" customHeight="1" x14ac:dyDescent="0.3">
      <c r="A41" s="677" t="str">
        <f>Traduzioni!G43</f>
        <v>Anno del primo contributo In Svizzera</v>
      </c>
      <c r="B41" s="632"/>
      <c r="C41" s="632"/>
      <c r="D41" s="963" t="str">
        <f>Traduzioni!G550</f>
        <v>Qual è stato il motivo di queste considerazioni?</v>
      </c>
      <c r="E41" s="963"/>
      <c r="F41" s="963"/>
      <c r="G41" s="966"/>
      <c r="H41" s="966"/>
      <c r="I41" s="967"/>
    </row>
    <row r="42" spans="1:9" ht="24.75" customHeight="1" x14ac:dyDescent="0.25">
      <c r="A42" s="677" t="str">
        <f>Traduzioni!G44</f>
        <v xml:space="preserve">Fabbisogno minimo vitale mensile in caso di decesso del coniuge </v>
      </c>
      <c r="B42" s="875"/>
      <c r="C42" s="875"/>
      <c r="D42" s="963"/>
      <c r="E42" s="963"/>
      <c r="F42" s="963"/>
      <c r="G42" s="966"/>
      <c r="H42" s="966"/>
      <c r="I42" s="967"/>
    </row>
    <row r="43" spans="1:9" ht="24.75" customHeight="1" x14ac:dyDescent="0.25">
      <c r="A43" s="677" t="str">
        <f>Traduzioni!G45</f>
        <v xml:space="preserve">Fabbisogno mensile  in caso di invalidità o pensione:              </v>
      </c>
      <c r="B43" s="875"/>
      <c r="C43" s="875"/>
      <c r="D43" s="963" t="str">
        <f>Traduzioni!G551</f>
        <v>Come valuta la sua attuale situazione assicurativa in relazione alla sua protezione?</v>
      </c>
      <c r="E43" s="963"/>
      <c r="F43" s="963"/>
      <c r="G43" s="966"/>
      <c r="H43" s="966"/>
      <c r="I43" s="967"/>
    </row>
    <row r="44" spans="1:9" ht="24.75" customHeight="1" x14ac:dyDescent="0.25">
      <c r="A44" s="677" t="str">
        <f>Traduzioni!G46</f>
        <v>Capitali necessari per liquidazione impegni in caso di decesso</v>
      </c>
      <c r="B44" s="701"/>
      <c r="C44" s="701"/>
      <c r="D44" s="963"/>
      <c r="E44" s="963"/>
      <c r="F44" s="963"/>
      <c r="G44" s="966"/>
      <c r="H44" s="966"/>
      <c r="I44" s="967"/>
    </row>
    <row r="45" spans="1:9" ht="24.75" customHeight="1" x14ac:dyDescent="0.25">
      <c r="A45" s="677" t="str">
        <f>Traduzioni!G47</f>
        <v>LACUNE: N. Anni senza lavoro o in disoccupazione  (n. no testo)</v>
      </c>
      <c r="B45" s="701"/>
      <c r="C45" s="701"/>
      <c r="D45" s="973" t="e" vm="2">
        <v>#VALUE!</v>
      </c>
      <c r="E45" s="973"/>
      <c r="F45" s="973"/>
      <c r="G45" s="973"/>
      <c r="H45" s="973"/>
      <c r="I45" s="974"/>
    </row>
    <row r="46" spans="1:9" ht="24.75" customHeight="1" x14ac:dyDescent="0.25">
      <c r="A46" s="677" t="str">
        <f>Traduzioni!G48</f>
        <v>Tipo di reddito</v>
      </c>
      <c r="B46" s="895"/>
      <c r="C46" s="895"/>
      <c r="D46" s="973"/>
      <c r="E46" s="973"/>
      <c r="F46" s="973"/>
      <c r="G46" s="973"/>
      <c r="H46" s="973"/>
      <c r="I46" s="974"/>
    </row>
    <row r="47" spans="1:9" ht="24.75" customHeight="1" x14ac:dyDescent="0.25">
      <c r="A47" s="677" t="str">
        <f>Traduzioni!G49</f>
        <v>Professione appresa</v>
      </c>
      <c r="B47" s="875"/>
      <c r="C47" s="875"/>
      <c r="D47" s="973"/>
      <c r="E47" s="973"/>
      <c r="F47" s="973"/>
      <c r="G47" s="973"/>
      <c r="H47" s="973"/>
      <c r="I47" s="974"/>
    </row>
    <row r="48" spans="1:9" ht="24.75" customHeight="1" x14ac:dyDescent="0.25">
      <c r="A48" s="677" t="str">
        <f>Traduzioni!G50</f>
        <v>Professione esercitata</v>
      </c>
      <c r="B48" s="875"/>
      <c r="C48" s="875"/>
      <c r="D48" s="973"/>
      <c r="E48" s="973"/>
      <c r="F48" s="973"/>
      <c r="G48" s="973"/>
      <c r="H48" s="973"/>
      <c r="I48" s="974"/>
    </row>
    <row r="49" spans="1:9" ht="24.75" customHeight="1" x14ac:dyDescent="0.25">
      <c r="A49" s="677" t="str">
        <f>Traduzioni!G51</f>
        <v xml:space="preserve">Percentuale lavorativa </v>
      </c>
      <c r="B49" s="873"/>
      <c r="C49" s="873"/>
      <c r="D49" s="973"/>
      <c r="E49" s="973"/>
      <c r="F49" s="973"/>
      <c r="G49" s="973"/>
      <c r="H49" s="973"/>
      <c r="I49" s="974"/>
    </row>
    <row r="50" spans="1:9" ht="24.75" customHeight="1" x14ac:dyDescent="0.25">
      <c r="A50" s="677" t="str">
        <f>Traduzioni!G52</f>
        <v xml:space="preserve">Fumatore?                                       </v>
      </c>
      <c r="B50" s="875"/>
      <c r="C50" s="875"/>
      <c r="D50" s="973"/>
      <c r="E50" s="973"/>
      <c r="F50" s="973"/>
      <c r="G50" s="973"/>
      <c r="H50" s="973"/>
      <c r="I50" s="974"/>
    </row>
    <row r="51" spans="1:9" ht="24.75" customHeight="1" x14ac:dyDescent="0.25">
      <c r="A51" s="677" t="str">
        <f>Traduzioni!G53</f>
        <v xml:space="preserve">Assicurato LPP (1=si, / 0=NO)? </v>
      </c>
      <c r="B51" s="875">
        <f>IF(B38=0,0,IF(B38*B40&gt;'Parametri generali'!B30,1*'Sigle per Analisi'!E22,0))</f>
        <v>0</v>
      </c>
      <c r="C51" s="875">
        <f>IF(C38=0,0,IF(C38*C40&gt;'Parametri generali'!B30,1*'Sigle per Analisi'!F22,0))</f>
        <v>0</v>
      </c>
      <c r="D51" s="973"/>
      <c r="E51" s="973"/>
      <c r="F51" s="973"/>
      <c r="G51" s="973"/>
      <c r="H51" s="973"/>
      <c r="I51" s="974"/>
    </row>
    <row r="52" spans="1:9" ht="24.75" customHeight="1" x14ac:dyDescent="0.25">
      <c r="A52" s="677" t="str">
        <f>Traduzioni!G54</f>
        <v>Assicuraz. AMPG (1=si, / 0=NO)</v>
      </c>
      <c r="B52" s="875">
        <f>IF(B38=0,0,IF(B46='Sigle per Analisi'!B22,1,0))</f>
        <v>0</v>
      </c>
      <c r="C52" s="875">
        <f>IF(C38=0,0,IF(C46='Sigle per Analisi'!B22,1,0))</f>
        <v>0</v>
      </c>
      <c r="D52" s="973"/>
      <c r="E52" s="973"/>
      <c r="F52" s="973"/>
      <c r="G52" s="973"/>
      <c r="H52" s="973"/>
      <c r="I52" s="974"/>
    </row>
    <row r="53" spans="1:9" ht="24.75" customHeight="1" x14ac:dyDescent="0.25">
      <c r="A53" s="677" t="str">
        <f>IF(B46='Sigle per Analisi'!B23,'Sigle per Analisi'!B74,IF(C46='Sigle per Analisi'!B23,'Sigle per Analisi'!B74,""))</f>
        <v/>
      </c>
      <c r="B53" s="876"/>
      <c r="C53" s="876"/>
      <c r="D53" s="973"/>
      <c r="E53" s="973"/>
      <c r="F53" s="973"/>
      <c r="G53" s="973"/>
      <c r="H53" s="973"/>
      <c r="I53" s="974"/>
    </row>
    <row r="54" spans="1:9" ht="24.75" customHeight="1" x14ac:dyDescent="0.25">
      <c r="A54" s="677" t="str">
        <f>IF(B46='Sigle per Analisi'!B23,'Sigle per Analisi'!B75,IF(C46='Sigle per Analisi'!B23,'Sigle per Analisi'!B75,""))</f>
        <v/>
      </c>
      <c r="B54" s="876"/>
      <c r="C54" s="876"/>
      <c r="D54" s="973"/>
      <c r="E54" s="973"/>
      <c r="F54" s="973"/>
      <c r="G54" s="973"/>
      <c r="H54" s="973"/>
      <c r="I54" s="974"/>
    </row>
    <row r="55" spans="1:9" ht="24.75" customHeight="1" thickBot="1" x14ac:dyDescent="0.3">
      <c r="A55" s="678" t="str">
        <f>Traduzioni!G57</f>
        <v xml:space="preserve">Ev. prelevamenti gia fatti da LPP (importo) </v>
      </c>
      <c r="B55" s="877"/>
      <c r="C55" s="877"/>
      <c r="D55" s="975"/>
      <c r="E55" s="975"/>
      <c r="F55" s="975"/>
      <c r="G55" s="975"/>
      <c r="H55" s="975"/>
      <c r="I55" s="976"/>
    </row>
    <row r="56" spans="1:9" ht="16.5" customHeight="1" thickBot="1" x14ac:dyDescent="0.3">
      <c r="A56" s="652"/>
      <c r="D56" s="653"/>
      <c r="E56" s="653"/>
      <c r="F56" s="653"/>
      <c r="G56" s="653"/>
      <c r="H56" s="653"/>
      <c r="I56" s="654"/>
    </row>
    <row r="57" spans="1:9" ht="25" customHeight="1" x14ac:dyDescent="0.25">
      <c r="A57" s="680" t="str">
        <f>Traduzioni!G59</f>
        <v>Affitto mensile</v>
      </c>
      <c r="B57" s="666"/>
      <c r="C57" s="666"/>
      <c r="D57" s="1106" t="str">
        <f>Traduzioni!G31</f>
        <v>Note</v>
      </c>
      <c r="E57" s="1106"/>
      <c r="F57" s="1106"/>
      <c r="G57" s="1106"/>
      <c r="H57" s="1106"/>
      <c r="I57" s="1107"/>
    </row>
    <row r="58" spans="1:9" ht="25" customHeight="1" thickBot="1" x14ac:dyDescent="0.3">
      <c r="A58" s="678" t="str">
        <f>Traduzioni!G60</f>
        <v>Da quando all'attuale domicilio</v>
      </c>
      <c r="B58" s="627"/>
      <c r="C58" s="627"/>
      <c r="D58" s="1108"/>
      <c r="E58" s="1108"/>
      <c r="F58" s="1108"/>
      <c r="G58" s="1108"/>
      <c r="H58" s="1108"/>
      <c r="I58" s="1109"/>
    </row>
    <row r="59" spans="1:9" ht="16.5" customHeight="1" thickBot="1" x14ac:dyDescent="0.3">
      <c r="A59" s="655"/>
      <c r="B59" s="643"/>
      <c r="C59" s="643"/>
      <c r="D59" s="656"/>
      <c r="E59" s="656"/>
      <c r="F59" s="656"/>
      <c r="G59" s="656"/>
      <c r="H59" s="656"/>
      <c r="I59" s="657"/>
    </row>
    <row r="60" spans="1:9" ht="25" customHeight="1" x14ac:dyDescent="0.25">
      <c r="A60" s="217" t="s">
        <v>397</v>
      </c>
      <c r="B60" s="880">
        <f>B19</f>
        <v>0</v>
      </c>
      <c r="C60" s="881">
        <f>C19</f>
        <v>0</v>
      </c>
      <c r="D60" s="934" t="str">
        <f>Traduzioni!G154</f>
        <v xml:space="preserve">I DATI CHE SEGUONO VENGONO CALCOLATI AUTOMATICAMENTE DAL SISTEMA. SULLA BASE DEI MINIMI LEGALI. PER OTTENERE UNA CALCOLAZIONE PIÙ PRECISA, POSSONO ESSERE CALCOLATI MANUALMENTE, INSERENDONE QUI IL VALORE                                       </v>
      </c>
      <c r="E60" s="935"/>
      <c r="F60" s="935"/>
      <c r="G60" s="935"/>
      <c r="H60" s="935"/>
      <c r="I60" s="936"/>
    </row>
    <row r="61" spans="1:9" ht="25" customHeight="1" x14ac:dyDescent="0.25">
      <c r="A61" s="681" t="str">
        <f>Traduzioni!G146</f>
        <v>Diritto a vedovanza</v>
      </c>
      <c r="B61" s="882">
        <f ca="1">'Parametri generali'!C22</f>
        <v>0</v>
      </c>
      <c r="C61" s="883">
        <f>'Parametri generali'!C21</f>
        <v>0</v>
      </c>
      <c r="D61" s="937"/>
      <c r="E61" s="938"/>
      <c r="F61" s="938"/>
      <c r="G61" s="938"/>
      <c r="H61" s="938"/>
      <c r="I61" s="939"/>
    </row>
    <row r="62" spans="1:9" ht="25" customHeight="1" x14ac:dyDescent="0.25">
      <c r="A62" s="681" t="str">
        <f>Traduzioni!G147</f>
        <v xml:space="preserve">Diritto a rendite AI (5 anni di contr.) </v>
      </c>
      <c r="B62" s="882">
        <f ca="1">'Parametri generali'!B26</f>
        <v>1</v>
      </c>
      <c r="C62" s="883">
        <f>'Parametri generali'!C26</f>
        <v>0</v>
      </c>
      <c r="D62" s="937"/>
      <c r="E62" s="938"/>
      <c r="F62" s="938"/>
      <c r="G62" s="938"/>
      <c r="H62" s="938"/>
      <c r="I62" s="939"/>
    </row>
    <row r="63" spans="1:9" ht="25" customHeight="1" x14ac:dyDescent="0.25">
      <c r="A63" s="681" t="str">
        <f>Traduzioni!G148</f>
        <v xml:space="preserve">Rendita AVS/AI antesplitting </v>
      </c>
      <c r="B63" s="701"/>
      <c r="C63" s="884"/>
      <c r="D63" s="937"/>
      <c r="E63" s="938"/>
      <c r="F63" s="938"/>
      <c r="G63" s="938"/>
      <c r="H63" s="938"/>
      <c r="I63" s="939"/>
    </row>
    <row r="64" spans="1:9" ht="25" customHeight="1" x14ac:dyDescent="0.25">
      <c r="A64" s="681" t="str">
        <f>Traduzioni!G149</f>
        <v>Rendita AVS/AI Postsplitting</v>
      </c>
      <c r="B64" s="701"/>
      <c r="C64" s="884"/>
      <c r="D64" s="937"/>
      <c r="E64" s="938"/>
      <c r="F64" s="938"/>
      <c r="G64" s="938"/>
      <c r="H64" s="938"/>
      <c r="I64" s="939"/>
    </row>
    <row r="65" spans="1:9" ht="25" customHeight="1" x14ac:dyDescent="0.25">
      <c r="A65" s="681" t="str">
        <f>Traduzioni!G150</f>
        <v>Versamento mensile LPP da busta paga</v>
      </c>
      <c r="B65" s="701"/>
      <c r="C65" s="884"/>
      <c r="D65" s="937"/>
      <c r="E65" s="938"/>
      <c r="F65" s="938"/>
      <c r="G65" s="938"/>
      <c r="H65" s="938"/>
      <c r="I65" s="939"/>
    </row>
    <row r="66" spans="1:9" ht="25" customHeight="1" x14ac:dyDescent="0.25">
      <c r="A66" s="681" t="str">
        <f>Traduzioni!G151</f>
        <v xml:space="preserve">Rendita LPP in caso di invalidità </v>
      </c>
      <c r="B66" s="701"/>
      <c r="C66" s="884"/>
      <c r="D66" s="937"/>
      <c r="E66" s="938"/>
      <c r="F66" s="938"/>
      <c r="G66" s="938"/>
      <c r="H66" s="938"/>
      <c r="I66" s="939"/>
    </row>
    <row r="67" spans="1:9" ht="25" customHeight="1" x14ac:dyDescent="0.25">
      <c r="A67" s="681" t="str">
        <f>Traduzioni!G152</f>
        <v xml:space="preserve">Rendita LPP in caso di pensionamento </v>
      </c>
      <c r="B67" s="701"/>
      <c r="C67" s="884"/>
      <c r="D67" s="937"/>
      <c r="E67" s="938"/>
      <c r="F67" s="938"/>
      <c r="G67" s="938"/>
      <c r="H67" s="938"/>
      <c r="I67" s="939"/>
    </row>
    <row r="68" spans="1:9" ht="25" customHeight="1" thickBot="1" x14ac:dyDescent="0.3">
      <c r="A68" s="682" t="str">
        <f>Traduzioni!G153</f>
        <v xml:space="preserve">Imposte annue con deduzione 3A </v>
      </c>
      <c r="B68" s="885"/>
      <c r="C68" s="886"/>
      <c r="D68" s="940"/>
      <c r="E68" s="941"/>
      <c r="F68" s="941"/>
      <c r="G68" s="941"/>
      <c r="H68" s="941"/>
      <c r="I68" s="942"/>
    </row>
    <row r="69" spans="1:9" ht="60" customHeight="1" thickBot="1" x14ac:dyDescent="0.85">
      <c r="A69" s="955" t="str">
        <f>Traduzioni!G63</f>
        <v xml:space="preserve">RISPARMIO E INVESTIMENTO: LA REGOLA DEL 3X10% </v>
      </c>
      <c r="B69" s="955"/>
      <c r="C69" s="955"/>
      <c r="D69" s="955"/>
      <c r="E69" s="955"/>
      <c r="F69" s="955"/>
      <c r="G69" s="955"/>
      <c r="H69" s="955"/>
      <c r="I69" s="955"/>
    </row>
    <row r="70" spans="1:9" ht="35" customHeight="1" x14ac:dyDescent="0.25">
      <c r="A70" s="690" t="str">
        <f>Traduzioni!G565</f>
        <v>Come risparmia e investe il suo denaro?</v>
      </c>
      <c r="B70" s="985"/>
      <c r="C70" s="986"/>
      <c r="D70" s="986"/>
      <c r="E70" s="986"/>
      <c r="F70" s="986"/>
      <c r="G70" s="986"/>
      <c r="H70" s="986"/>
      <c r="I70" s="987"/>
    </row>
    <row r="71" spans="1:9" ht="35" customHeight="1" x14ac:dyDescent="0.25">
      <c r="A71" s="691" t="str">
        <f>Traduzioni!G566</f>
        <v>Quali considerazioni e obiettivi hanno guidato questa strategia?</v>
      </c>
      <c r="B71" s="988"/>
      <c r="C71" s="989"/>
      <c r="D71" s="989"/>
      <c r="E71" s="989"/>
      <c r="F71" s="989"/>
      <c r="G71" s="989"/>
      <c r="H71" s="989"/>
      <c r="I71" s="990"/>
    </row>
    <row r="72" spans="1:9" ht="35" customHeight="1" x14ac:dyDescent="0.25">
      <c r="A72" s="691" t="str">
        <f>Traduzioni!G567</f>
        <v>Investirebbe oggi il denaro nello stesso modo?</v>
      </c>
      <c r="B72" s="988"/>
      <c r="C72" s="989"/>
      <c r="D72" s="989"/>
      <c r="E72" s="989"/>
      <c r="F72" s="989"/>
      <c r="G72" s="989"/>
      <c r="H72" s="989"/>
      <c r="I72" s="990"/>
    </row>
    <row r="73" spans="1:9" ht="35" customHeight="1" x14ac:dyDescent="0.25">
      <c r="A73" s="691" t="str">
        <f>Traduzioni!G568</f>
        <v>Come si definirebbe come investitore? (conservativo, bilanciato, dinamico...)</v>
      </c>
      <c r="B73" s="988"/>
      <c r="C73" s="989"/>
      <c r="D73" s="989"/>
      <c r="E73" s="989"/>
      <c r="F73" s="989"/>
      <c r="G73" s="989"/>
      <c r="H73" s="989"/>
      <c r="I73" s="990"/>
    </row>
    <row r="74" spans="1:9" ht="35" customHeight="1" x14ac:dyDescent="0.25">
      <c r="A74" s="691" t="str">
        <f>Traduzioni!G569</f>
        <v>Quanta liquidità le serve per sentirsi a suo agio?</v>
      </c>
      <c r="B74" s="988"/>
      <c r="C74" s="989"/>
      <c r="D74" s="989"/>
      <c r="E74" s="989"/>
      <c r="F74" s="989"/>
      <c r="G74" s="989"/>
      <c r="H74" s="989"/>
      <c r="I74" s="990"/>
    </row>
    <row r="75" spans="1:9" ht="106.5" customHeight="1" thickBot="1" x14ac:dyDescent="0.3">
      <c r="A75" s="692" t="str">
        <f>Traduzioni!G520</f>
        <v>Terzi pilastri e investimenti attuali: società, premi, investimenti</v>
      </c>
      <c r="B75" s="1090"/>
      <c r="C75" s="1091"/>
      <c r="D75" s="1091"/>
      <c r="E75" s="1039"/>
      <c r="F75" s="1039"/>
      <c r="G75" s="1039"/>
      <c r="H75" s="1039"/>
      <c r="I75" s="1040"/>
    </row>
    <row r="76" spans="1:9" ht="25" customHeight="1" x14ac:dyDescent="0.25">
      <c r="A76" s="693"/>
      <c r="B76" s="697" t="str">
        <f>Traduzioni!G29</f>
        <v>Cliente</v>
      </c>
      <c r="C76" s="697" t="str">
        <f>Traduzioni!G30</f>
        <v>Partner</v>
      </c>
      <c r="D76" s="1068" t="str">
        <f>Traduzioni!G65</f>
        <v>Figli</v>
      </c>
      <c r="E76" s="1069"/>
      <c r="F76" s="1098" t="str">
        <f>Traduzioni!G31</f>
        <v>Note</v>
      </c>
      <c r="G76" s="1099"/>
      <c r="H76" s="1099"/>
      <c r="I76" s="1100"/>
    </row>
    <row r="77" spans="1:9" ht="25" customHeight="1" x14ac:dyDescent="0.25">
      <c r="A77" s="694" t="str">
        <f>Traduzioni!G66</f>
        <v xml:space="preserve">Risparmio attuale mensile                       </v>
      </c>
      <c r="B77" s="887"/>
      <c r="C77" s="887"/>
      <c r="D77" s="1070"/>
      <c r="E77" s="1071"/>
      <c r="F77" s="1101"/>
      <c r="G77" s="1102"/>
      <c r="H77" s="1102"/>
      <c r="I77" s="1103"/>
    </row>
    <row r="78" spans="1:9" ht="30" customHeight="1" x14ac:dyDescent="0.25">
      <c r="A78" s="694" t="str">
        <f>Traduzioni!G67</f>
        <v xml:space="preserve">Risparmio ideale mensile (per raggiung. obiettivi)                                                                        </v>
      </c>
      <c r="B78" s="888"/>
      <c r="C78" s="888"/>
      <c r="D78" s="1072"/>
      <c r="E78" s="1073"/>
      <c r="F78" s="1101"/>
      <c r="G78" s="1102"/>
      <c r="H78" s="1102"/>
      <c r="I78" s="1103"/>
    </row>
    <row r="79" spans="1:9" ht="25" customHeight="1" thickBot="1" x14ac:dyDescent="0.3">
      <c r="A79" s="694" t="str">
        <f>Traduzioni!G68</f>
        <v xml:space="preserve">Capitale a disposizione                                   </v>
      </c>
      <c r="B79" s="889"/>
      <c r="C79" s="889"/>
      <c r="D79" s="977"/>
      <c r="E79" s="978"/>
      <c r="F79" s="1092" t="e" vm="3">
        <v>#VALUE!</v>
      </c>
      <c r="G79" s="1093"/>
      <c r="H79" s="1093"/>
      <c r="I79" s="1094"/>
    </row>
    <row r="80" spans="1:9" ht="37" customHeight="1" x14ac:dyDescent="0.25">
      <c r="A80" s="694"/>
      <c r="B80" s="696" t="str">
        <f>Traduzioni!G72</f>
        <v>Breve termine - 0-3 anni - 0.0%-0.2%</v>
      </c>
      <c r="C80" s="696" t="str">
        <f>Traduzioni!G73</f>
        <v>Medio Termine 4-8 a. 3%-5%</v>
      </c>
      <c r="D80" s="1066" t="str">
        <f>Traduzioni!G74</f>
        <v xml:space="preserve">Lungo Termine  &gt;9 ./ J. 18% - 21%, inclusi vantaggi fiscali </v>
      </c>
      <c r="E80" s="1067"/>
      <c r="F80" s="1092"/>
      <c r="G80" s="1093"/>
      <c r="H80" s="1093"/>
      <c r="I80" s="1094"/>
    </row>
    <row r="81" spans="1:9" ht="25" customHeight="1" thickBot="1" x14ac:dyDescent="0.3">
      <c r="A81" s="694" t="str">
        <f>Traduzioni!G69</f>
        <v xml:space="preserve">in % della disponibilità                                                      </v>
      </c>
      <c r="B81" s="890"/>
      <c r="C81" s="891"/>
      <c r="D81" s="991"/>
      <c r="E81" s="992"/>
      <c r="F81" s="1092"/>
      <c r="G81" s="1093"/>
      <c r="H81" s="1093"/>
      <c r="I81" s="1094"/>
    </row>
    <row r="82" spans="1:9" ht="50.5" customHeight="1" x14ac:dyDescent="0.25">
      <c r="A82" s="694" t="str">
        <f>Traduzioni!G70</f>
        <v xml:space="preserve">Note per un offerta di un piano di risparmio / 3. pilastro: </v>
      </c>
      <c r="B82" s="1136"/>
      <c r="C82" s="1137"/>
      <c r="D82" s="1137"/>
      <c r="E82" s="1138"/>
      <c r="F82" s="1092"/>
      <c r="G82" s="1093"/>
      <c r="H82" s="1093"/>
      <c r="I82" s="1094"/>
    </row>
    <row r="83" spans="1:9" ht="25" customHeight="1" thickBot="1" x14ac:dyDescent="0.35">
      <c r="A83" s="695" t="str">
        <f>Traduzioni!G71</f>
        <v xml:space="preserve">Dispo per offerta di risparmio con OPP3:(al mese) - </v>
      </c>
      <c r="B83" s="892"/>
      <c r="C83" s="893"/>
      <c r="D83" s="993"/>
      <c r="E83" s="994"/>
      <c r="F83" s="1095"/>
      <c r="G83" s="1096"/>
      <c r="H83" s="1096"/>
      <c r="I83" s="1097"/>
    </row>
    <row r="84" spans="1:9" ht="60" customHeight="1" thickBot="1" x14ac:dyDescent="0.85">
      <c r="A84" s="997" t="str">
        <f>Traduzioni!G75</f>
        <v xml:space="preserve">VANTAGGI FISCALI </v>
      </c>
      <c r="B84" s="997"/>
      <c r="C84" s="997"/>
      <c r="D84" s="997"/>
      <c r="E84" s="997"/>
      <c r="F84" s="997"/>
      <c r="G84" s="997"/>
      <c r="H84" s="997"/>
      <c r="I84" s="997"/>
    </row>
    <row r="85" spans="1:9" ht="35" customHeight="1" thickBot="1" x14ac:dyDescent="0.3">
      <c r="A85" s="618" t="str">
        <f>Traduzioni!G561</f>
        <v>Come risparmia o ottimizza le tasse fino ad oggi?</v>
      </c>
      <c r="B85" s="1139"/>
      <c r="C85" s="1139"/>
      <c r="D85" s="1139"/>
      <c r="E85" s="1139"/>
      <c r="F85" s="1139"/>
      <c r="G85" s="1139"/>
      <c r="H85" s="1139"/>
      <c r="I85" s="1140"/>
    </row>
    <row r="86" spans="1:9" ht="35" customHeight="1" thickBot="1" x14ac:dyDescent="0.3">
      <c r="A86" s="618" t="str">
        <f>Traduzioni!G562</f>
        <v>Dove vede ulteriori possibilità per risparmiare o ottimizzare le tasse?</v>
      </c>
      <c r="B86" s="1121"/>
      <c r="C86" s="1121"/>
      <c r="D86" s="1121"/>
      <c r="E86" s="1121"/>
      <c r="F86" s="1121"/>
      <c r="G86" s="1121"/>
      <c r="H86" s="1121"/>
      <c r="I86" s="1122"/>
    </row>
    <row r="87" spans="1:9" ht="35" customHeight="1" thickBot="1" x14ac:dyDescent="0.3">
      <c r="A87" s="618" t="str">
        <f>Traduzioni!G563</f>
        <v>Chi si occupa della sua dichiarazione fiscale?</v>
      </c>
      <c r="B87" s="1121"/>
      <c r="C87" s="1121"/>
      <c r="D87" s="1121"/>
      <c r="E87" s="1121"/>
      <c r="F87" s="1121"/>
      <c r="G87" s="1121"/>
      <c r="H87" s="1121"/>
      <c r="I87" s="1122"/>
    </row>
    <row r="88" spans="1:9" ht="25" customHeight="1" thickBot="1" x14ac:dyDescent="0.3">
      <c r="A88" s="618" t="str">
        <f>Traduzioni!G76</f>
        <v xml:space="preserve">Imposte pagate all'anno </v>
      </c>
      <c r="B88" s="593"/>
      <c r="C88" s="594"/>
      <c r="D88" s="1130" t="e" vm="4">
        <v>#VALUE!</v>
      </c>
      <c r="E88" s="1131"/>
      <c r="F88" s="1131"/>
      <c r="G88" s="1131"/>
      <c r="H88" s="1131"/>
      <c r="I88" s="1132"/>
    </row>
    <row r="89" spans="1:9" ht="25" customHeight="1" thickBot="1" x14ac:dyDescent="0.3">
      <c r="A89" s="618" t="str">
        <f>Traduzioni!G77</f>
        <v xml:space="preserve">Tassazione ordinaria o alla fonte? </v>
      </c>
      <c r="B89" s="592"/>
      <c r="C89" s="592"/>
      <c r="D89" s="1130"/>
      <c r="E89" s="1131"/>
      <c r="F89" s="1131"/>
      <c r="G89" s="1131"/>
      <c r="H89" s="1131"/>
      <c r="I89" s="1132"/>
    </row>
    <row r="90" spans="1:9" ht="25" customHeight="1" thickBot="1" x14ac:dyDescent="0.3">
      <c r="A90" s="618" t="str">
        <f>Traduzioni!G78</f>
        <v xml:space="preserve">90% dei redditi provengono da CH?         </v>
      </c>
      <c r="B90" s="983"/>
      <c r="C90" s="984"/>
      <c r="D90" s="1130"/>
      <c r="E90" s="1131"/>
      <c r="F90" s="1131"/>
      <c r="G90" s="1131"/>
      <c r="H90" s="1131"/>
      <c r="I90" s="1132"/>
    </row>
    <row r="91" spans="1:9" ht="159.75" customHeight="1" thickBot="1" x14ac:dyDescent="0.3">
      <c r="A91" s="648" t="str">
        <f>Traduzioni!G79</f>
        <v xml:space="preserve">Già effettuata una verifica dei possibili risparmi fiscali(OPP3)?                                             </v>
      </c>
      <c r="B91" s="1104"/>
      <c r="C91" s="1105"/>
      <c r="D91" s="1133"/>
      <c r="E91" s="1134"/>
      <c r="F91" s="1134"/>
      <c r="G91" s="1134"/>
      <c r="H91" s="1134"/>
      <c r="I91" s="1135"/>
    </row>
    <row r="92" spans="1:9" ht="60" customHeight="1" thickBot="1" x14ac:dyDescent="0.85">
      <c r="A92" s="1120" t="str">
        <f>Traduzioni!G80</f>
        <v xml:space="preserve">FINANZIABILITÀ E ABITAZIONE DI PROPRIETÀ  </v>
      </c>
      <c r="B92" s="955"/>
      <c r="C92" s="955"/>
      <c r="D92" s="955"/>
      <c r="E92" s="955"/>
      <c r="F92" s="955"/>
      <c r="G92" s="955"/>
      <c r="H92" s="955"/>
      <c r="I92" s="955"/>
    </row>
    <row r="93" spans="1:9" ht="30" customHeight="1" thickBot="1" x14ac:dyDescent="0.3">
      <c r="A93" s="698" t="str">
        <f>Traduzioni!G81</f>
        <v xml:space="preserve">CASH + 3 PIL + INVESTIMENTI      </v>
      </c>
      <c r="B93" s="619"/>
      <c r="C93" s="620"/>
      <c r="D93" s="1074" t="str">
        <f>Traduzioni!G31</f>
        <v>Note</v>
      </c>
      <c r="E93" s="1074"/>
      <c r="F93" s="1074"/>
      <c r="G93" s="1074"/>
      <c r="H93" s="1074"/>
      <c r="I93" s="1075"/>
    </row>
    <row r="94" spans="1:9" ht="30" customHeight="1" thickBot="1" x14ac:dyDescent="0.3">
      <c r="A94" s="698" t="str">
        <f>Traduzioni!G82</f>
        <v xml:space="preserve">Capitale disponible su LPP per abitazione </v>
      </c>
      <c r="B94" s="699"/>
      <c r="C94" s="700"/>
      <c r="D94" s="973"/>
      <c r="E94" s="973"/>
      <c r="F94" s="973"/>
      <c r="G94" s="973"/>
      <c r="H94" s="973"/>
      <c r="I94" s="974"/>
    </row>
    <row r="95" spans="1:9" ht="30" customHeight="1" thickBot="1" x14ac:dyDescent="0.3">
      <c r="A95" s="698" t="str">
        <f>Traduzioni!G83</f>
        <v xml:space="preserve">Capitali da eredità, ecc…    </v>
      </c>
      <c r="B95" s="701"/>
      <c r="C95" s="702"/>
      <c r="D95" s="973"/>
      <c r="E95" s="973"/>
      <c r="F95" s="973"/>
      <c r="G95" s="973"/>
      <c r="H95" s="973"/>
      <c r="I95" s="974"/>
    </row>
    <row r="96" spans="1:9" ht="30" customHeight="1" thickBot="1" x14ac:dyDescent="0.3">
      <c r="A96" s="698" t="str">
        <f>Traduzioni!G84</f>
        <v>Valore dei lavori che potrebbe fare in proprio</v>
      </c>
      <c r="B96" s="701"/>
      <c r="C96" s="702"/>
      <c r="D96" s="973"/>
      <c r="E96" s="973"/>
      <c r="F96" s="973"/>
      <c r="G96" s="973"/>
      <c r="H96" s="973"/>
      <c r="I96" s="974"/>
    </row>
    <row r="97" spans="1:9" ht="30" customHeight="1" thickBot="1" x14ac:dyDescent="0.3">
      <c r="A97" s="698" t="str">
        <f>Traduzioni!G85</f>
        <v>Importo mensile di rate per crediti o leasing</v>
      </c>
      <c r="B97" s="621"/>
      <c r="C97" s="628"/>
      <c r="D97" s="973"/>
      <c r="E97" s="973"/>
      <c r="F97" s="973"/>
      <c r="G97" s="973"/>
      <c r="H97" s="973"/>
      <c r="I97" s="974"/>
    </row>
    <row r="98" spans="1:9" ht="30" customHeight="1" thickBot="1" x14ac:dyDescent="0.3">
      <c r="A98" s="698" t="str">
        <f>Traduzioni!G86</f>
        <v>Importo attuale dei debiti da crediti privati:</v>
      </c>
      <c r="B98" s="622"/>
      <c r="C98" s="629"/>
      <c r="D98" s="973"/>
      <c r="E98" s="973"/>
      <c r="F98" s="973"/>
      <c r="G98" s="973"/>
      <c r="H98" s="973"/>
      <c r="I98" s="974"/>
    </row>
    <row r="99" spans="1:9" ht="60" customHeight="1" thickBot="1" x14ac:dyDescent="0.85">
      <c r="A99" s="1118" t="str">
        <f>Traduzioni!G87</f>
        <v xml:space="preserve">PROPOSTA DI FINANZIAMENTO O RIFINANZIAMENTO DI UN IMMOBILE -                           </v>
      </c>
      <c r="B99" s="955"/>
      <c r="C99" s="955"/>
      <c r="D99" s="955"/>
      <c r="E99" s="955"/>
      <c r="F99" s="955"/>
      <c r="G99" s="955"/>
      <c r="H99" s="955"/>
      <c r="I99" s="1119"/>
    </row>
    <row r="100" spans="1:9" ht="29.5" customHeight="1" thickBot="1" x14ac:dyDescent="0.3">
      <c r="A100" s="703" t="str">
        <f>Traduzioni!G88</f>
        <v xml:space="preserve">Valore attuale dell'immobile o prezzo di acquisto: il minore dei due      </v>
      </c>
      <c r="B100" s="1117"/>
      <c r="C100" s="1117"/>
      <c r="D100" s="1074" t="str">
        <f>Traduzioni!G31</f>
        <v>Note</v>
      </c>
      <c r="E100" s="1074"/>
      <c r="F100" s="1074"/>
      <c r="G100" s="1074"/>
      <c r="H100" s="1074"/>
      <c r="I100" s="1075"/>
    </row>
    <row r="101" spans="1:9" ht="30" customHeight="1" thickBot="1" x14ac:dyDescent="0.3">
      <c r="A101" s="703" t="str">
        <f>Traduzioni!G89</f>
        <v>Eventuali costi di ristrutturazione</v>
      </c>
      <c r="B101" s="982"/>
      <c r="C101" s="982"/>
      <c r="D101" s="1125"/>
      <c r="E101" s="1021"/>
      <c r="F101" s="1021"/>
      <c r="G101" s="1021"/>
      <c r="H101" s="1021"/>
      <c r="I101" s="1126"/>
    </row>
    <row r="102" spans="1:9" ht="30" customHeight="1" thickBot="1" x14ac:dyDescent="0.3">
      <c r="A102" s="703" t="str">
        <f>Traduzioni!G90</f>
        <v>Descrizione/denominazione dell'oggetto:</v>
      </c>
      <c r="B102" s="982"/>
      <c r="C102" s="982"/>
      <c r="D102" s="1127"/>
      <c r="E102" s="1128"/>
      <c r="F102" s="1128"/>
      <c r="G102" s="1128"/>
      <c r="H102" s="1128"/>
      <c r="I102" s="1129"/>
    </row>
    <row r="103" spans="1:9" ht="29.65" customHeight="1" thickBot="1" x14ac:dyDescent="0.3">
      <c r="A103" s="703" t="str">
        <f>Traduzioni!G91</f>
        <v>Eventuali incassi per affitti IMPORTO ANNUO</v>
      </c>
      <c r="B103" s="1064"/>
      <c r="C103" s="1065"/>
      <c r="D103" s="1000" t="e" vm="5">
        <v>#VALUE!</v>
      </c>
      <c r="E103" s="1123"/>
      <c r="F103" s="1123"/>
      <c r="G103" s="1123"/>
      <c r="H103" s="1123"/>
      <c r="I103" s="1001"/>
    </row>
    <row r="104" spans="1:9" ht="29.65" customHeight="1" thickBot="1" x14ac:dyDescent="0.3">
      <c r="A104" s="703" t="str">
        <f>Traduzioni!G92</f>
        <v xml:space="preserve">Importo mensile di rate per Ipoteca o mutui </v>
      </c>
      <c r="B104" s="982"/>
      <c r="C104" s="982"/>
      <c r="D104" s="1000"/>
      <c r="E104" s="1123"/>
      <c r="F104" s="1123"/>
      <c r="G104" s="1123"/>
      <c r="H104" s="1123"/>
      <c r="I104" s="1001"/>
    </row>
    <row r="105" spans="1:9" ht="29.65" customHeight="1" thickBot="1" x14ac:dyDescent="0.3">
      <c r="A105" s="703" t="str">
        <f>Traduzioni!G93</f>
        <v>Importo attuale del debito ipotecario</v>
      </c>
      <c r="B105" s="982"/>
      <c r="C105" s="982"/>
      <c r="D105" s="1000"/>
      <c r="E105" s="1123"/>
      <c r="F105" s="1123"/>
      <c r="G105" s="1123"/>
      <c r="H105" s="1123"/>
      <c r="I105" s="1001"/>
    </row>
    <row r="106" spans="1:9" ht="29.65" customHeight="1" thickBot="1" x14ac:dyDescent="0.3">
      <c r="A106" s="703" t="str">
        <f>Traduzioni!G94</f>
        <v xml:space="preserve">Istituto di credito                       </v>
      </c>
      <c r="B106" s="982"/>
      <c r="C106" s="982"/>
      <c r="D106" s="1000"/>
      <c r="E106" s="1123"/>
      <c r="F106" s="1123"/>
      <c r="G106" s="1123"/>
      <c r="H106" s="1123"/>
      <c r="I106" s="1001"/>
    </row>
    <row r="107" spans="1:9" ht="29.65" customHeight="1" thickBot="1" x14ac:dyDescent="0.3">
      <c r="A107" s="703" t="str">
        <f>Traduzioni!G95</f>
        <v xml:space="preserve">Tasso di interesse ipotecario </v>
      </c>
      <c r="B107" s="982"/>
      <c r="C107" s="982"/>
      <c r="D107" s="1000"/>
      <c r="E107" s="1123"/>
      <c r="F107" s="1123"/>
      <c r="G107" s="1123"/>
      <c r="H107" s="1123"/>
      <c r="I107" s="1001"/>
    </row>
    <row r="108" spans="1:9" ht="29.65" customHeight="1" thickBot="1" x14ac:dyDescent="0.3">
      <c r="A108" s="703" t="str">
        <f>Traduzioni!G96</f>
        <v xml:space="preserve">Scadenza del contratto / tasso fisso / </v>
      </c>
      <c r="B108" s="982"/>
      <c r="C108" s="982"/>
      <c r="D108" s="1000"/>
      <c r="E108" s="1123"/>
      <c r="F108" s="1123"/>
      <c r="G108" s="1123"/>
      <c r="H108" s="1123"/>
      <c r="I108" s="1001"/>
    </row>
    <row r="109" spans="1:9" ht="29.65" customHeight="1" thickBot="1" x14ac:dyDescent="0.3">
      <c r="A109" s="703" t="s">
        <v>2902</v>
      </c>
      <c r="B109" s="1064"/>
      <c r="C109" s="1065"/>
      <c r="D109" s="1000"/>
      <c r="E109" s="1123"/>
      <c r="F109" s="1123"/>
      <c r="G109" s="1123"/>
      <c r="H109" s="1123"/>
      <c r="I109" s="1001"/>
    </row>
    <row r="110" spans="1:9" ht="29.65" customHeight="1" thickBot="1" x14ac:dyDescent="0.3">
      <c r="A110" s="704" t="str">
        <f>Traduzioni!G97</f>
        <v xml:space="preserve">Ammortamento (importo e tipologia, dir./ indir) </v>
      </c>
      <c r="B110" s="981"/>
      <c r="C110" s="981"/>
      <c r="D110" s="1002"/>
      <c r="E110" s="1124"/>
      <c r="F110" s="1124"/>
      <c r="G110" s="1124"/>
      <c r="H110" s="1124"/>
      <c r="I110" s="1003"/>
    </row>
    <row r="111" spans="1:9" ht="60" customHeight="1" thickBot="1" x14ac:dyDescent="0.85">
      <c r="A111" s="997" t="str">
        <f>Traduzioni!G98</f>
        <v xml:space="preserve">ASSICURAZIONE SANITARIA   </v>
      </c>
      <c r="B111" s="997"/>
      <c r="C111" s="997"/>
      <c r="D111" s="997"/>
      <c r="E111" s="997"/>
      <c r="F111" s="997"/>
      <c r="G111" s="997"/>
      <c r="H111" s="997"/>
      <c r="I111" s="997"/>
    </row>
    <row r="112" spans="1:9" ht="39.5" customHeight="1" x14ac:dyDescent="0.3">
      <c r="A112" s="610"/>
      <c r="B112" s="612">
        <f>B19</f>
        <v>0</v>
      </c>
      <c r="C112" s="612">
        <f>C19</f>
        <v>0</v>
      </c>
      <c r="D112" s="603">
        <f>B31</f>
        <v>0</v>
      </c>
      <c r="E112" s="603">
        <f>B32</f>
        <v>0</v>
      </c>
      <c r="F112" s="603">
        <f>B33</f>
        <v>0</v>
      </c>
      <c r="G112" s="613" t="s">
        <v>395</v>
      </c>
      <c r="H112" s="979" t="s">
        <v>197</v>
      </c>
      <c r="I112" s="980"/>
    </row>
    <row r="113" spans="1:9" ht="30" customHeight="1" x14ac:dyDescent="0.3">
      <c r="A113" s="611" t="str">
        <f>Traduzioni!G99</f>
        <v xml:space="preserve">Quanto paga di cassa malati al mese?          </v>
      </c>
      <c r="B113" s="614"/>
      <c r="C113" s="614"/>
      <c r="D113" s="614"/>
      <c r="E113" s="614"/>
      <c r="F113" s="614"/>
      <c r="G113" s="623">
        <f>B113+C113+D113+E113+F113</f>
        <v>0</v>
      </c>
      <c r="H113" s="998"/>
      <c r="I113" s="999"/>
    </row>
    <row r="114" spans="1:9" ht="30" customHeight="1" x14ac:dyDescent="0.25">
      <c r="A114" s="611" t="str">
        <f>Traduzioni!G100</f>
        <v xml:space="preserve">Compagnia LAMal                                       </v>
      </c>
      <c r="B114" s="95"/>
      <c r="C114" s="95"/>
      <c r="D114" s="95"/>
      <c r="E114" s="95"/>
      <c r="F114" s="95"/>
      <c r="G114" s="995"/>
      <c r="H114" s="1000"/>
      <c r="I114" s="1001"/>
    </row>
    <row r="115" spans="1:9" ht="30" customHeight="1" x14ac:dyDescent="0.25">
      <c r="A115" s="611" t="str">
        <f>Traduzioni!G101</f>
        <v xml:space="preserve">Compagnia LCA                                              </v>
      </c>
      <c r="B115" s="95" t="str">
        <f>IF(B114="","",B114)</f>
        <v/>
      </c>
      <c r="C115" s="95" t="str">
        <f t="shared" ref="C115:F115" si="0">IF(C114="","",C114)</f>
        <v/>
      </c>
      <c r="D115" s="95" t="str">
        <f t="shared" si="0"/>
        <v/>
      </c>
      <c r="E115" s="95" t="str">
        <f t="shared" si="0"/>
        <v/>
      </c>
      <c r="F115" s="95" t="str">
        <f t="shared" si="0"/>
        <v/>
      </c>
      <c r="G115" s="932"/>
      <c r="H115" s="1000"/>
      <c r="I115" s="1001"/>
    </row>
    <row r="116" spans="1:9" ht="30" customHeight="1" x14ac:dyDescent="0.25">
      <c r="A116" s="611" t="str">
        <f>Traduzioni!G102</f>
        <v xml:space="preserve">Franchigia LAMal?                                  </v>
      </c>
      <c r="B116" s="614"/>
      <c r="C116" s="614"/>
      <c r="D116" s="614"/>
      <c r="E116" s="614"/>
      <c r="F116" s="614"/>
      <c r="G116" s="932"/>
      <c r="H116" s="1000"/>
      <c r="I116" s="1001"/>
    </row>
    <row r="117" spans="1:9" ht="30" customHeight="1" x14ac:dyDescent="0.25">
      <c r="A117" s="611" t="str">
        <f>Traduzioni!G103</f>
        <v xml:space="preserve">Franchigia desiderata?                        </v>
      </c>
      <c r="B117" s="101" t="str">
        <f>IF(B116="","",B116)</f>
        <v/>
      </c>
      <c r="C117" s="101" t="str">
        <f t="shared" ref="C117:F117" si="1">IF(C116="","",C116)</f>
        <v/>
      </c>
      <c r="D117" s="101" t="str">
        <f t="shared" si="1"/>
        <v/>
      </c>
      <c r="E117" s="101" t="str">
        <f t="shared" si="1"/>
        <v/>
      </c>
      <c r="F117" s="101" t="str">
        <f t="shared" si="1"/>
        <v/>
      </c>
      <c r="G117" s="932"/>
      <c r="H117" s="1000"/>
      <c r="I117" s="1001"/>
    </row>
    <row r="118" spans="1:9" ht="30" customHeight="1" x14ac:dyDescent="0.25">
      <c r="A118" s="611" t="str">
        <f>Traduzioni!G104</f>
        <v xml:space="preserve">Categoria: 1=adulto/ 2=0-18 /3=g19-26  </v>
      </c>
      <c r="B118" s="101">
        <v>1</v>
      </c>
      <c r="C118" s="101">
        <v>1</v>
      </c>
      <c r="D118" s="101">
        <v>3</v>
      </c>
      <c r="E118" s="101">
        <v>3</v>
      </c>
      <c r="F118" s="101">
        <v>3</v>
      </c>
      <c r="G118" s="932"/>
      <c r="H118" s="1000"/>
      <c r="I118" s="1001"/>
    </row>
    <row r="119" spans="1:9" ht="30" customHeight="1" thickBot="1" x14ac:dyDescent="0.3">
      <c r="A119" s="611" t="str">
        <f>Traduzioni!G105</f>
        <v xml:space="preserve">Stato di salute attuale?             </v>
      </c>
      <c r="B119" s="96"/>
      <c r="C119" s="96"/>
      <c r="D119" s="96"/>
      <c r="E119" s="96"/>
      <c r="F119" s="96"/>
      <c r="G119" s="996"/>
      <c r="H119" s="1002"/>
      <c r="I119" s="1003"/>
    </row>
    <row r="120" spans="1:9" ht="29.25" customHeight="1" thickBot="1" x14ac:dyDescent="0.3">
      <c r="A120" s="968" t="str">
        <f>Traduzioni!G106</f>
        <v xml:space="preserve">QUALI DI QUESTE COPERTURE SAREBBERO DESIDERATE SE COSTASSERO SOLO POCHI FRANCHI O SE FOSSERO COMPRESE? (0 / 1 per un analisi automatizzata) </v>
      </c>
      <c r="B120" s="969"/>
      <c r="C120" s="969"/>
      <c r="D120" s="969"/>
      <c r="E120" s="969"/>
      <c r="F120" s="969"/>
      <c r="G120" s="969"/>
      <c r="H120" s="969"/>
      <c r="I120" s="970"/>
    </row>
    <row r="121" spans="1:9" ht="36" customHeight="1" x14ac:dyDescent="0.25">
      <c r="A121" s="605"/>
      <c r="B121" s="607" t="str">
        <f>Traduzioni!G107</f>
        <v>ESISTENTE PER CLIENTE?</v>
      </c>
      <c r="C121" s="607" t="str">
        <f>Traduzioni!G108</f>
        <v>ESISTENTE PER PARTNER?</v>
      </c>
      <c r="D121" s="607" t="str">
        <f>Traduzioni!G109</f>
        <v>ESISTENTE?</v>
      </c>
      <c r="E121" s="607" t="str">
        <f>Traduzioni!G109</f>
        <v>ESISTENTE?</v>
      </c>
      <c r="F121" s="607" t="str">
        <f>Traduzioni!G109</f>
        <v>ESISTENTE?</v>
      </c>
      <c r="G121" s="608" t="str">
        <f>Traduzioni!G110</f>
        <v xml:space="preserve">DESIDERATA PER CLIENTE?  (1 / 0) </v>
      </c>
      <c r="H121" s="608" t="str">
        <f>Traduzioni!G111</f>
        <v>DESIDERATA PER PARTNER? (1 / 0)</v>
      </c>
      <c r="I121" s="609" t="str">
        <f>Traduzioni!G112</f>
        <v>DESIDERATA PER FIGLI?(1 / 0)</v>
      </c>
    </row>
    <row r="122" spans="1:9" ht="30" customHeight="1" x14ac:dyDescent="0.25">
      <c r="A122" s="606" t="str">
        <f>Traduzioni!G113</f>
        <v xml:space="preserve">Libera scelta medici e ospedali </v>
      </c>
      <c r="B122" s="95"/>
      <c r="C122" s="95"/>
      <c r="D122" s="91"/>
      <c r="E122" s="91"/>
      <c r="F122" s="91"/>
      <c r="G122" s="615">
        <v>1</v>
      </c>
      <c r="H122" s="615">
        <f>G122</f>
        <v>1</v>
      </c>
      <c r="I122" s="615">
        <f>G122</f>
        <v>1</v>
      </c>
    </row>
    <row r="123" spans="1:9" ht="30" customHeight="1" x14ac:dyDescent="0.25">
      <c r="A123" s="606" t="str">
        <f>Traduzioni!G114</f>
        <v>Privata/semiprivata</v>
      </c>
      <c r="B123" s="95"/>
      <c r="C123" s="95"/>
      <c r="D123" s="91"/>
      <c r="E123" s="91"/>
      <c r="F123" s="91"/>
      <c r="G123" s="616">
        <v>1</v>
      </c>
      <c r="H123" s="615">
        <f t="shared" ref="H123:H133" si="2">G123</f>
        <v>1</v>
      </c>
      <c r="I123" s="615">
        <f t="shared" ref="I123:I133" si="3">G123</f>
        <v>1</v>
      </c>
    </row>
    <row r="124" spans="1:9" ht="30" customHeight="1" x14ac:dyDescent="0.25">
      <c r="A124" s="606" t="str">
        <f>Traduzioni!G115</f>
        <v xml:space="preserve">Dentistista </v>
      </c>
      <c r="B124" s="95"/>
      <c r="C124" s="95"/>
      <c r="D124" s="91"/>
      <c r="E124" s="91"/>
      <c r="F124" s="91"/>
      <c r="G124" s="616">
        <v>1</v>
      </c>
      <c r="H124" s="615">
        <f t="shared" si="2"/>
        <v>1</v>
      </c>
      <c r="I124" s="615">
        <f t="shared" si="3"/>
        <v>1</v>
      </c>
    </row>
    <row r="125" spans="1:9" ht="30" customHeight="1" x14ac:dyDescent="0.25">
      <c r="A125" s="606" t="str">
        <f>Traduzioni!G116</f>
        <v>Fitness</v>
      </c>
      <c r="B125" s="95"/>
      <c r="C125" s="95"/>
      <c r="D125" s="91"/>
      <c r="E125" s="91"/>
      <c r="F125" s="91"/>
      <c r="G125" s="616">
        <v>1</v>
      </c>
      <c r="H125" s="615">
        <f t="shared" si="2"/>
        <v>1</v>
      </c>
      <c r="I125" s="615">
        <f t="shared" si="3"/>
        <v>1</v>
      </c>
    </row>
    <row r="126" spans="1:9" ht="30" customHeight="1" x14ac:dyDescent="0.25">
      <c r="A126" s="606" t="str">
        <f>Traduzioni!G117</f>
        <v xml:space="preserve">Occhiali e Lenti a contatto </v>
      </c>
      <c r="B126" s="95"/>
      <c r="C126" s="95"/>
      <c r="D126" s="91"/>
      <c r="E126" s="91"/>
      <c r="F126" s="91"/>
      <c r="G126" s="616">
        <v>1</v>
      </c>
      <c r="H126" s="615">
        <v>1</v>
      </c>
      <c r="I126" s="615">
        <f t="shared" si="3"/>
        <v>1</v>
      </c>
    </row>
    <row r="127" spans="1:9" ht="30" customHeight="1" x14ac:dyDescent="0.25">
      <c r="A127" s="606" t="str">
        <f>Traduzioni!G118</f>
        <v xml:space="preserve">Assistenza domiciliare </v>
      </c>
      <c r="B127" s="95"/>
      <c r="C127" s="95"/>
      <c r="D127" s="91"/>
      <c r="E127" s="91"/>
      <c r="F127" s="91"/>
      <c r="G127" s="616">
        <v>1</v>
      </c>
      <c r="H127" s="615">
        <v>1</v>
      </c>
      <c r="I127" s="615">
        <f t="shared" si="3"/>
        <v>1</v>
      </c>
    </row>
    <row r="128" spans="1:9" ht="30" customHeight="1" x14ac:dyDescent="0.25">
      <c r="A128" s="606" t="str">
        <f>Traduzioni!G119</f>
        <v>Chec-kup</v>
      </c>
      <c r="B128" s="95"/>
      <c r="C128" s="95"/>
      <c r="D128" s="91"/>
      <c r="E128" s="91"/>
      <c r="F128" s="91"/>
      <c r="G128" s="616">
        <v>1</v>
      </c>
      <c r="H128" s="615">
        <v>1</v>
      </c>
      <c r="I128" s="615">
        <f t="shared" si="3"/>
        <v>1</v>
      </c>
    </row>
    <row r="129" spans="1:9" ht="30" customHeight="1" x14ac:dyDescent="0.25">
      <c r="A129" s="606" t="str">
        <f>Traduzioni!G120</f>
        <v xml:space="preserve">Prevenzione ginecologica </v>
      </c>
      <c r="B129" s="95"/>
      <c r="C129" s="95"/>
      <c r="D129" s="91"/>
      <c r="E129" s="91"/>
      <c r="F129" s="91"/>
      <c r="G129" s="616">
        <v>1</v>
      </c>
      <c r="H129" s="615">
        <f t="shared" si="2"/>
        <v>1</v>
      </c>
      <c r="I129" s="615">
        <f t="shared" si="3"/>
        <v>1</v>
      </c>
    </row>
    <row r="130" spans="1:9" ht="30" customHeight="1" x14ac:dyDescent="0.25">
      <c r="A130" s="606" t="str">
        <f>Traduzioni!G121</f>
        <v xml:space="preserve">Trasporto e salvataggio </v>
      </c>
      <c r="B130" s="95"/>
      <c r="C130" s="95"/>
      <c r="D130" s="91"/>
      <c r="E130" s="91"/>
      <c r="F130" s="91"/>
      <c r="G130" s="616">
        <v>1</v>
      </c>
      <c r="H130" s="615">
        <f t="shared" si="2"/>
        <v>1</v>
      </c>
      <c r="I130" s="615">
        <f t="shared" si="3"/>
        <v>1</v>
      </c>
    </row>
    <row r="131" spans="1:9" ht="30" customHeight="1" x14ac:dyDescent="0.25">
      <c r="A131" s="606" t="str">
        <f>Traduzioni!G122</f>
        <v xml:space="preserve">Medicina alternativa </v>
      </c>
      <c r="B131" s="95"/>
      <c r="C131" s="95"/>
      <c r="D131" s="91"/>
      <c r="E131" s="91"/>
      <c r="F131" s="91"/>
      <c r="G131" s="616">
        <v>1</v>
      </c>
      <c r="H131" s="615">
        <f t="shared" si="2"/>
        <v>1</v>
      </c>
      <c r="I131" s="615">
        <f t="shared" si="3"/>
        <v>1</v>
      </c>
    </row>
    <row r="132" spans="1:9" ht="30" customHeight="1" x14ac:dyDescent="0.25">
      <c r="A132" s="606" t="str">
        <f>Traduzioni!G123</f>
        <v xml:space="preserve">Medicianli fuorilista </v>
      </c>
      <c r="B132" s="101"/>
      <c r="C132" s="95"/>
      <c r="D132" s="92"/>
      <c r="E132" s="92"/>
      <c r="F132" s="92"/>
      <c r="G132" s="617">
        <v>1</v>
      </c>
      <c r="H132" s="615">
        <f t="shared" si="2"/>
        <v>1</v>
      </c>
      <c r="I132" s="615">
        <f t="shared" si="3"/>
        <v>1</v>
      </c>
    </row>
    <row r="133" spans="1:9" ht="30" customHeight="1" thickBot="1" x14ac:dyDescent="0.3">
      <c r="A133" s="638" t="str">
        <f>Traduzioni!G124</f>
        <v xml:space="preserve">Altro </v>
      </c>
      <c r="B133" s="96"/>
      <c r="C133" s="96"/>
      <c r="D133" s="93"/>
      <c r="E133" s="93"/>
      <c r="F133" s="93"/>
      <c r="G133" s="639">
        <v>1</v>
      </c>
      <c r="H133" s="640">
        <f t="shared" si="2"/>
        <v>1</v>
      </c>
      <c r="I133" s="640">
        <f t="shared" si="3"/>
        <v>1</v>
      </c>
    </row>
    <row r="134" spans="1:9" ht="11.5" hidden="1" customHeight="1" x14ac:dyDescent="0.25">
      <c r="A134" s="641"/>
      <c r="B134" s="642"/>
      <c r="C134" s="642"/>
      <c r="D134" s="643"/>
      <c r="E134" s="643"/>
      <c r="F134" s="643"/>
      <c r="G134" s="643"/>
      <c r="H134" s="644"/>
      <c r="I134" s="645"/>
    </row>
    <row r="135" spans="1:9" ht="30" customHeight="1" thickBot="1" x14ac:dyDescent="0.3">
      <c r="A135" s="1178" t="str">
        <f>Traduzioni!G575</f>
        <v>ASSICURAZIONE SANITARIA: LA NOSTRA PROPOSTA PER IL CLIENTE</v>
      </c>
      <c r="B135" s="1179"/>
      <c r="C135" s="1179"/>
      <c r="D135" s="1179"/>
      <c r="E135" s="1179"/>
      <c r="F135" s="1179"/>
      <c r="G135" s="1179"/>
      <c r="H135" s="1179"/>
      <c r="I135" s="1180"/>
    </row>
    <row r="136" spans="1:9" ht="30" customHeight="1" thickBot="1" x14ac:dyDescent="0.35">
      <c r="A136" s="602" t="str">
        <f>Traduzioni!G155</f>
        <v xml:space="preserve">VALUTAZIONE CASSA MALATI </v>
      </c>
      <c r="B136" s="603" t="s">
        <v>3700</v>
      </c>
      <c r="C136" s="604" t="s">
        <v>3701</v>
      </c>
      <c r="D136" s="943" t="s">
        <v>395</v>
      </c>
      <c r="E136" s="944"/>
      <c r="F136" s="1145" t="s">
        <v>4552</v>
      </c>
      <c r="G136" s="1145"/>
      <c r="H136" s="1145"/>
      <c r="I136" s="1146"/>
    </row>
    <row r="137" spans="1:9" ht="30" customHeight="1" thickBot="1" x14ac:dyDescent="0.35">
      <c r="A137" s="602" t="str">
        <f>Traduzioni!G156</f>
        <v xml:space="preserve">Proposta CM Capofamiglia         </v>
      </c>
      <c r="B137" s="91"/>
      <c r="C137" s="94"/>
      <c r="D137" s="953">
        <f t="shared" ref="D137:D142" si="4">SUM(B137:C137)</f>
        <v>0</v>
      </c>
      <c r="E137" s="954"/>
      <c r="F137" s="1147"/>
      <c r="G137" s="1147"/>
      <c r="H137" s="1147"/>
      <c r="I137" s="1148"/>
    </row>
    <row r="138" spans="1:9" ht="30" customHeight="1" thickBot="1" x14ac:dyDescent="0.35">
      <c r="A138" s="602" t="str">
        <f>Traduzioni!G157</f>
        <v xml:space="preserve">Proposta CM Partner                     </v>
      </c>
      <c r="B138" s="91"/>
      <c r="C138" s="94"/>
      <c r="D138" s="953">
        <f t="shared" si="4"/>
        <v>0</v>
      </c>
      <c r="E138" s="954"/>
      <c r="F138" s="1147"/>
      <c r="G138" s="1147"/>
      <c r="H138" s="1147"/>
      <c r="I138" s="1148"/>
    </row>
    <row r="139" spans="1:9" ht="30" customHeight="1" thickBot="1" x14ac:dyDescent="0.35">
      <c r="A139" s="602" t="str">
        <f>Traduzioni!G158</f>
        <v xml:space="preserve">Proposta CM figlio 1                       </v>
      </c>
      <c r="B139" s="91"/>
      <c r="C139" s="94"/>
      <c r="D139" s="953">
        <f t="shared" si="4"/>
        <v>0</v>
      </c>
      <c r="E139" s="954"/>
      <c r="F139" s="1147"/>
      <c r="G139" s="1147"/>
      <c r="H139" s="1147"/>
      <c r="I139" s="1148"/>
    </row>
    <row r="140" spans="1:9" ht="30" customHeight="1" thickBot="1" x14ac:dyDescent="0.35">
      <c r="A140" s="602" t="str">
        <f>Traduzioni!G159</f>
        <v xml:space="preserve">Proposta CM Figlio 2                        </v>
      </c>
      <c r="B140" s="91"/>
      <c r="C140" s="94"/>
      <c r="D140" s="953">
        <f t="shared" si="4"/>
        <v>0</v>
      </c>
      <c r="E140" s="954"/>
      <c r="F140" s="1147"/>
      <c r="G140" s="1147"/>
      <c r="H140" s="1147"/>
      <c r="I140" s="1148"/>
    </row>
    <row r="141" spans="1:9" ht="30" customHeight="1" thickBot="1" x14ac:dyDescent="0.35">
      <c r="A141" s="602" t="str">
        <f>Traduzioni!G160</f>
        <v xml:space="preserve">Proposta CM Figlio 3                        </v>
      </c>
      <c r="B141" s="91"/>
      <c r="C141" s="94"/>
      <c r="D141" s="1151">
        <f t="shared" si="4"/>
        <v>0</v>
      </c>
      <c r="E141" s="1152"/>
      <c r="F141" s="1147"/>
      <c r="G141" s="1147"/>
      <c r="H141" s="1147"/>
      <c r="I141" s="1148"/>
    </row>
    <row r="142" spans="1:9" ht="30" customHeight="1" thickBot="1" x14ac:dyDescent="0.35">
      <c r="A142" s="602" t="str">
        <f>Traduzioni!G161</f>
        <v xml:space="preserve">Altri figli:                                        </v>
      </c>
      <c r="B142" s="92"/>
      <c r="C142" s="92"/>
      <c r="D142" s="1151">
        <f t="shared" si="4"/>
        <v>0</v>
      </c>
      <c r="E142" s="1152"/>
      <c r="F142" s="1147"/>
      <c r="G142" s="1147"/>
      <c r="H142" s="1147"/>
      <c r="I142" s="1148"/>
    </row>
    <row r="143" spans="1:9" ht="30" customHeight="1" thickBot="1" x14ac:dyDescent="0.35">
      <c r="A143" s="646" t="str">
        <f>Traduzioni!G162</f>
        <v>TOT.</v>
      </c>
      <c r="B143" s="647">
        <f>SUM(B137:B142)</f>
        <v>0</v>
      </c>
      <c r="C143" s="647">
        <f>SUM(C137:C142)</f>
        <v>0</v>
      </c>
      <c r="D143" s="1191">
        <f>B143+C143</f>
        <v>0</v>
      </c>
      <c r="E143" s="1192"/>
      <c r="F143" s="1149"/>
      <c r="G143" s="1149"/>
      <c r="H143" s="1149"/>
      <c r="I143" s="1150"/>
    </row>
    <row r="144" spans="1:9" ht="63.75" customHeight="1" thickBot="1" x14ac:dyDescent="0.85">
      <c r="A144" s="955" t="str">
        <f>Traduzioni!G134</f>
        <v xml:space="preserve">SICUREZZA E FUTURO DEI FIGLI  </v>
      </c>
      <c r="B144" s="955"/>
      <c r="C144" s="955"/>
      <c r="D144" s="955"/>
      <c r="E144" s="955"/>
      <c r="F144" s="955"/>
      <c r="G144" s="955"/>
      <c r="H144" s="955"/>
      <c r="I144" s="955"/>
    </row>
    <row r="145" spans="1:9" ht="38.25" customHeight="1" thickBot="1" x14ac:dyDescent="0.3">
      <c r="A145" s="1165" t="str">
        <f>Traduzioni!G135</f>
        <v xml:space="preserve">È interessato/a a un calcolo preventivo dei costi degli studi e dei relativi piani di finanziamento </v>
      </c>
      <c r="B145" s="1166"/>
      <c r="C145" s="1166"/>
      <c r="D145" s="1170"/>
      <c r="E145" s="1170"/>
      <c r="F145" s="1170"/>
      <c r="G145" s="1170"/>
      <c r="H145" s="1170"/>
      <c r="I145" s="1171"/>
    </row>
    <row r="146" spans="1:9" ht="39.75" customHeight="1" x14ac:dyDescent="0.25">
      <c r="A146" s="1167" t="str">
        <f>Traduzioni!G136</f>
        <v xml:space="preserve">interessato a garantire la sicurezza del futuro dei figli anche in caso di invalidità o decesso? </v>
      </c>
      <c r="B146" s="1168"/>
      <c r="C146" s="1169"/>
      <c r="D146" s="1172"/>
      <c r="E146" s="1173"/>
      <c r="F146" s="1173"/>
      <c r="G146" s="1173"/>
      <c r="H146" s="1173"/>
      <c r="I146" s="1174"/>
    </row>
    <row r="147" spans="1:9" ht="54.75" customHeight="1" x14ac:dyDescent="0.25">
      <c r="A147" s="705" t="str">
        <f>Traduzioni!G137</f>
        <v xml:space="preserve">Piani di risparmio per i figli, società e risparmio mensile </v>
      </c>
      <c r="B147" s="932"/>
      <c r="C147" s="932"/>
      <c r="D147" s="932"/>
      <c r="E147" s="932"/>
      <c r="F147" s="932"/>
      <c r="G147" s="932"/>
      <c r="H147" s="932"/>
      <c r="I147" s="933"/>
    </row>
    <row r="148" spans="1:9" ht="30" customHeight="1" x14ac:dyDescent="0.25">
      <c r="A148" s="706" t="str">
        <f>Traduzioni!G138</f>
        <v>Figlio</v>
      </c>
      <c r="B148" s="709" t="str">
        <f>Traduzioni!G139</f>
        <v xml:space="preserve">Livello di studi </v>
      </c>
      <c r="C148" s="709" t="str">
        <f>Traduzioni!G140</f>
        <v xml:space="preserve">Luogo degli studi </v>
      </c>
      <c r="D148" s="1144" t="str">
        <f>Traduzioni!G141</f>
        <v xml:space="preserve">Durata degli studi </v>
      </c>
      <c r="E148" s="1144"/>
      <c r="F148" s="1144" t="str">
        <f>Traduzioni!G142</f>
        <v xml:space="preserve">COSTO presumibile  </v>
      </c>
      <c r="G148" s="1144"/>
      <c r="H148" s="956" t="str">
        <f>Traduzioni!G143</f>
        <v xml:space="preserve">Capitale già disponibile </v>
      </c>
      <c r="I148" s="957"/>
    </row>
    <row r="149" spans="1:9" ht="26.25" customHeight="1" x14ac:dyDescent="0.3">
      <c r="A149" s="707">
        <f>B31</f>
        <v>0</v>
      </c>
      <c r="B149" s="626" t="s">
        <v>326</v>
      </c>
      <c r="C149" s="626" t="s">
        <v>1347</v>
      </c>
      <c r="D149" s="1142"/>
      <c r="E149" s="1142"/>
      <c r="F149" s="1141">
        <f>'Parametri generali'!E40</f>
        <v>0</v>
      </c>
      <c r="G149" s="1141"/>
      <c r="H149" s="1142"/>
      <c r="I149" s="1143"/>
    </row>
    <row r="150" spans="1:9" ht="24.75" customHeight="1" x14ac:dyDescent="0.3">
      <c r="A150" s="707">
        <f>B32</f>
        <v>0</v>
      </c>
      <c r="B150" s="708" t="s">
        <v>326</v>
      </c>
      <c r="C150" s="708" t="s">
        <v>1347</v>
      </c>
      <c r="D150" s="982"/>
      <c r="E150" s="982"/>
      <c r="F150" s="1141">
        <f>'Parametri generali'!E41</f>
        <v>0</v>
      </c>
      <c r="G150" s="1141"/>
      <c r="H150" s="982"/>
      <c r="I150" s="1175"/>
    </row>
    <row r="151" spans="1:9" ht="24.75" customHeight="1" x14ac:dyDescent="0.3">
      <c r="A151" s="707">
        <f>B33</f>
        <v>0</v>
      </c>
      <c r="B151" s="626" t="s">
        <v>326</v>
      </c>
      <c r="C151" s="626" t="s">
        <v>1347</v>
      </c>
      <c r="D151" s="1142"/>
      <c r="E151" s="1142"/>
      <c r="F151" s="1141">
        <f>'Parametri generali'!E42</f>
        <v>0</v>
      </c>
      <c r="G151" s="1141"/>
      <c r="H151" s="1142"/>
      <c r="I151" s="1143"/>
    </row>
    <row r="152" spans="1:9" ht="18" customHeight="1" thickBot="1" x14ac:dyDescent="0.3">
      <c r="A152" s="958" t="s">
        <v>395</v>
      </c>
      <c r="B152" s="959"/>
      <c r="C152" s="959"/>
      <c r="D152" s="959"/>
      <c r="E152" s="960"/>
      <c r="F152" s="1198">
        <f>F149+F150+F151</f>
        <v>0</v>
      </c>
      <c r="G152" s="1199"/>
      <c r="H152" s="961">
        <f>H149+H150+H151</f>
        <v>0</v>
      </c>
      <c r="I152" s="962"/>
    </row>
    <row r="153" spans="1:9" ht="30" customHeight="1" thickBot="1" x14ac:dyDescent="0.3">
      <c r="A153" s="1193" t="str">
        <f>Traduzioni!G144</f>
        <v xml:space="preserve">Quanto potrebbe/vorrebbe  investire il cliente in totale al mese per il futuro dei propri figli? </v>
      </c>
      <c r="B153" s="1194"/>
      <c r="C153" s="1194"/>
      <c r="D153" s="1194"/>
      <c r="E153" s="1194"/>
      <c r="F153" s="1194"/>
      <c r="G153" s="1194"/>
      <c r="H153" s="1194"/>
      <c r="I153" s="1195"/>
    </row>
    <row r="154" spans="1:9" ht="30" customHeight="1" thickBot="1" x14ac:dyDescent="0.3">
      <c r="A154" s="710">
        <f>A149</f>
        <v>0</v>
      </c>
      <c r="B154" s="624"/>
      <c r="C154" s="1196">
        <f>A150</f>
        <v>0</v>
      </c>
      <c r="D154" s="1197"/>
      <c r="E154" s="711"/>
      <c r="F154" s="1196">
        <f>A151</f>
        <v>0</v>
      </c>
      <c r="G154" s="1197"/>
      <c r="H154" s="1197"/>
      <c r="I154" s="625"/>
    </row>
    <row r="155" spans="1:9" ht="30" customHeight="1" x14ac:dyDescent="0.25">
      <c r="A155" s="542"/>
      <c r="B155" s="543"/>
      <c r="C155" s="544"/>
      <c r="D155" s="544"/>
      <c r="E155" s="543"/>
      <c r="F155" s="544"/>
      <c r="G155" s="544"/>
      <c r="H155" s="544"/>
      <c r="I155" s="536"/>
    </row>
    <row r="156" spans="1:9" ht="83.25" customHeight="1" thickBot="1" x14ac:dyDescent="0.85">
      <c r="A156" s="1176" t="str">
        <f>Traduzioni!G125</f>
        <v xml:space="preserve">ASSICURAZIONI DI COSE E PATRIMONIALI                               </v>
      </c>
      <c r="B156" s="1176"/>
      <c r="C156" s="1176"/>
      <c r="D156" s="1176"/>
      <c r="E156" s="1176"/>
      <c r="F156" s="1176"/>
      <c r="G156" s="1177" t="e" vm="6">
        <v>#VALUE!</v>
      </c>
      <c r="H156" s="1177"/>
      <c r="I156" s="1177"/>
    </row>
    <row r="157" spans="1:9" s="547" customFormat="1" ht="30" customHeight="1" x14ac:dyDescent="0.2">
      <c r="A157" s="658" t="str">
        <f>Traduzioni!G584</f>
        <v>TIPOLOGIA RISCHIO</v>
      </c>
      <c r="B157" s="659" t="str">
        <f>Traduzioni!G585</f>
        <v>COPERTURA ASS.</v>
      </c>
      <c r="C157" s="660" t="str">
        <f>Traduzioni!G578</f>
        <v>SOMMA ASS. ATTUALE</v>
      </c>
      <c r="D157" s="661" t="str">
        <f>Traduzioni!G579</f>
        <v>SOMA ASS. PROPOSTA</v>
      </c>
      <c r="E157" s="661" t="str">
        <f>Traduzioni!G580</f>
        <v>PREMIO ATTUALE</v>
      </c>
      <c r="F157" s="660" t="str">
        <f>Traduzioni!G581</f>
        <v>PREMIO PROPOSTA</v>
      </c>
      <c r="G157" s="660" t="str">
        <f>Traduzioni!G582</f>
        <v>POLIZZA N.</v>
      </c>
      <c r="H157" s="660" t="str">
        <f>Traduzioni!G583</f>
        <v>SCADENZA</v>
      </c>
      <c r="I157" s="662" t="str">
        <f>Traduzioni!G126</f>
        <v>PRIORITÀ</v>
      </c>
    </row>
    <row r="158" spans="1:9" ht="15" customHeight="1" x14ac:dyDescent="0.25">
      <c r="A158" s="1155" t="str">
        <f>Traduzioni!G130</f>
        <v xml:space="preserve">Assicurazione stabili </v>
      </c>
      <c r="B158" s="545" t="str">
        <f>Traduzioni!G587</f>
        <v>Incendio/Natura</v>
      </c>
      <c r="C158" s="896"/>
      <c r="D158" s="896"/>
      <c r="E158" s="945"/>
      <c r="F158" s="945"/>
      <c r="G158" s="945"/>
      <c r="H158" s="948"/>
      <c r="I158" s="1162" t="s">
        <v>512</v>
      </c>
    </row>
    <row r="159" spans="1:9" ht="15" customHeight="1" x14ac:dyDescent="0.25">
      <c r="A159" s="1156"/>
      <c r="B159" s="545" t="str">
        <f>Traduzioni!G588</f>
        <v>Danni acque</v>
      </c>
      <c r="C159" s="896"/>
      <c r="D159" s="897"/>
      <c r="E159" s="946"/>
      <c r="F159" s="946"/>
      <c r="G159" s="946"/>
      <c r="H159" s="949"/>
      <c r="I159" s="1163"/>
    </row>
    <row r="160" spans="1:9" ht="15" customHeight="1" x14ac:dyDescent="0.25">
      <c r="A160" s="1156"/>
      <c r="B160" s="545" t="str">
        <f>Traduzioni!G589</f>
        <v>Rottura vetri</v>
      </c>
      <c r="C160" s="896"/>
      <c r="D160" s="897"/>
      <c r="E160" s="946"/>
      <c r="F160" s="946"/>
      <c r="G160" s="946"/>
      <c r="H160" s="949"/>
      <c r="I160" s="1163"/>
    </row>
    <row r="161" spans="1:11" ht="15" customHeight="1" x14ac:dyDescent="0.25">
      <c r="A161" s="1156"/>
      <c r="B161" s="545" t="str">
        <f>Traduzioni!G590</f>
        <v>Furto</v>
      </c>
      <c r="C161" s="896"/>
      <c r="D161" s="897"/>
      <c r="E161" s="947"/>
      <c r="F161" s="947"/>
      <c r="G161" s="947"/>
      <c r="H161" s="950"/>
      <c r="I161" s="1163"/>
    </row>
    <row r="162" spans="1:11" ht="15" customHeight="1" x14ac:dyDescent="0.25">
      <c r="A162" s="1157"/>
      <c r="B162" s="545" t="str">
        <f>Traduzioni!G611</f>
        <v>RC Stabili</v>
      </c>
      <c r="C162" s="896"/>
      <c r="D162" s="897"/>
      <c r="E162" s="897"/>
      <c r="F162" s="897"/>
      <c r="G162" s="897"/>
      <c r="H162" s="898"/>
      <c r="I162" s="1164"/>
    </row>
    <row r="163" spans="1:11" ht="15" customHeight="1" x14ac:dyDescent="0.25">
      <c r="A163" s="1155" t="str">
        <f>Traduzioni!G129</f>
        <v xml:space="preserve">Economia Domestica e RC               </v>
      </c>
      <c r="B163" s="545" t="str">
        <f>Traduzioni!G612</f>
        <v>RC Privata</v>
      </c>
      <c r="C163" s="896"/>
      <c r="D163" s="896"/>
      <c r="E163" s="897"/>
      <c r="F163" s="897"/>
      <c r="G163" s="897"/>
      <c r="H163" s="898"/>
      <c r="I163" s="1162" t="s">
        <v>512</v>
      </c>
    </row>
    <row r="164" spans="1:11" ht="15" customHeight="1" x14ac:dyDescent="0.25">
      <c r="A164" s="1156"/>
      <c r="B164" s="545" t="str">
        <f>Traduzioni!G591</f>
        <v>Incendio/Natura</v>
      </c>
      <c r="C164" s="896"/>
      <c r="D164" s="896"/>
      <c r="E164" s="945"/>
      <c r="F164" s="945"/>
      <c r="G164" s="945"/>
      <c r="H164" s="948"/>
      <c r="I164" s="1163"/>
    </row>
    <row r="165" spans="1:11" ht="15" customHeight="1" x14ac:dyDescent="0.25">
      <c r="A165" s="1156"/>
      <c r="B165" s="545" t="str">
        <f>Traduzioni!G592</f>
        <v>Danni acque</v>
      </c>
      <c r="C165" s="896"/>
      <c r="D165" s="896"/>
      <c r="E165" s="946"/>
      <c r="F165" s="946"/>
      <c r="G165" s="946"/>
      <c r="H165" s="949"/>
      <c r="I165" s="1163"/>
    </row>
    <row r="166" spans="1:11" ht="15" customHeight="1" x14ac:dyDescent="0.25">
      <c r="A166" s="1156"/>
      <c r="B166" s="545" t="str">
        <f>Traduzioni!G593</f>
        <v>Rottura vetri</v>
      </c>
      <c r="C166" s="896"/>
      <c r="D166" s="896"/>
      <c r="E166" s="946"/>
      <c r="F166" s="946"/>
      <c r="G166" s="946"/>
      <c r="H166" s="949"/>
      <c r="I166" s="1163"/>
    </row>
    <row r="167" spans="1:11" ht="15" customHeight="1" x14ac:dyDescent="0.25">
      <c r="A167" s="1156"/>
      <c r="B167" s="545" t="str">
        <f>Traduzioni!G594</f>
        <v>Furto</v>
      </c>
      <c r="C167" s="896"/>
      <c r="D167" s="896"/>
      <c r="E167" s="947"/>
      <c r="F167" s="947"/>
      <c r="G167" s="947"/>
      <c r="H167" s="950"/>
      <c r="I167" s="1163"/>
    </row>
    <row r="168" spans="1:11" ht="15" customHeight="1" x14ac:dyDescent="0.25">
      <c r="A168" s="1157"/>
      <c r="B168" s="545" t="str">
        <f>Traduzioni!G595</f>
        <v>All-risk</v>
      </c>
      <c r="C168" s="896"/>
      <c r="D168" s="897"/>
      <c r="E168" s="897"/>
      <c r="F168" s="896"/>
      <c r="G168" s="896"/>
      <c r="H168" s="899"/>
      <c r="I168" s="1164"/>
    </row>
    <row r="169" spans="1:11" ht="15" customHeight="1" x14ac:dyDescent="0.25">
      <c r="A169" s="1155" t="str">
        <f>Traduzioni!G131</f>
        <v xml:space="preserve">Protezione giuridica </v>
      </c>
      <c r="B169" s="545" t="str">
        <f>Traduzioni!G598</f>
        <v>Privata/famiglia</v>
      </c>
      <c r="C169" s="896"/>
      <c r="D169" s="896"/>
      <c r="E169" s="896"/>
      <c r="F169" s="897"/>
      <c r="G169" s="897"/>
      <c r="H169" s="898"/>
      <c r="I169" s="1153" t="s">
        <v>512</v>
      </c>
    </row>
    <row r="170" spans="1:11" ht="15" customHeight="1" x14ac:dyDescent="0.25">
      <c r="A170" s="1156"/>
      <c r="B170" s="545" t="str">
        <f>Traduzioni!G599</f>
        <v>Circolazione</v>
      </c>
      <c r="C170" s="896"/>
      <c r="D170" s="897"/>
      <c r="E170" s="897"/>
      <c r="F170" s="897"/>
      <c r="G170" s="897"/>
      <c r="H170" s="898"/>
      <c r="I170" s="1153"/>
    </row>
    <row r="171" spans="1:11" ht="15" customHeight="1" x14ac:dyDescent="0.25">
      <c r="A171" s="1156"/>
      <c r="B171" s="545" t="str">
        <f>Traduzioni!G600</f>
        <v>Medica</v>
      </c>
      <c r="C171" s="896"/>
      <c r="D171" s="897"/>
      <c r="E171" s="897"/>
      <c r="F171" s="897"/>
      <c r="G171" s="897"/>
      <c r="H171" s="898"/>
      <c r="I171" s="1153"/>
    </row>
    <row r="172" spans="1:11" ht="15" customHeight="1" x14ac:dyDescent="0.25">
      <c r="A172" s="1158" t="str">
        <f>Traduzioni!G132</f>
        <v xml:space="preserve">Assicurazioni auto </v>
      </c>
      <c r="B172" s="545" t="str">
        <f>Traduzioni!G613</f>
        <v>RC V.M.</v>
      </c>
      <c r="C172" s="896"/>
      <c r="D172" s="896"/>
      <c r="E172" s="945"/>
      <c r="F172" s="945"/>
      <c r="G172" s="945"/>
      <c r="H172" s="948"/>
      <c r="I172" s="1153" t="s">
        <v>512</v>
      </c>
      <c r="K172" s="216"/>
    </row>
    <row r="173" spans="1:11" ht="15" customHeight="1" x14ac:dyDescent="0.25">
      <c r="A173" s="1159"/>
      <c r="B173" s="545" t="str">
        <f>Traduzioni!G602</f>
        <v>Casco Parziale</v>
      </c>
      <c r="C173" s="896"/>
      <c r="D173" s="897"/>
      <c r="E173" s="946"/>
      <c r="F173" s="946"/>
      <c r="G173" s="946"/>
      <c r="H173" s="949"/>
      <c r="I173" s="1153"/>
      <c r="K173" s="216"/>
    </row>
    <row r="174" spans="1:11" ht="15" customHeight="1" x14ac:dyDescent="0.25">
      <c r="A174" s="1159"/>
      <c r="B174" s="545" t="str">
        <f>Traduzioni!G603</f>
        <v>Collisione</v>
      </c>
      <c r="C174" s="896"/>
      <c r="D174" s="897"/>
      <c r="E174" s="946"/>
      <c r="F174" s="946"/>
      <c r="G174" s="946"/>
      <c r="H174" s="949"/>
      <c r="I174" s="1153"/>
      <c r="K174" s="216"/>
    </row>
    <row r="175" spans="1:11" ht="15" customHeight="1" x14ac:dyDescent="0.25">
      <c r="A175" s="1159"/>
      <c r="B175" s="545" t="str">
        <f>Traduzioni!G604</f>
        <v>Occupanti</v>
      </c>
      <c r="C175" s="896"/>
      <c r="D175" s="897"/>
      <c r="E175" s="946"/>
      <c r="F175" s="946"/>
      <c r="G175" s="946"/>
      <c r="H175" s="949"/>
      <c r="I175" s="1153"/>
      <c r="K175" s="216"/>
    </row>
    <row r="176" spans="1:11" ht="15" customHeight="1" x14ac:dyDescent="0.25">
      <c r="A176" s="1160"/>
      <c r="B176" s="545" t="str">
        <f>Traduzioni!G605</f>
        <v>Assistance</v>
      </c>
      <c r="C176" s="896"/>
      <c r="D176" s="897"/>
      <c r="E176" s="947"/>
      <c r="F176" s="947"/>
      <c r="G176" s="947"/>
      <c r="H176" s="950"/>
      <c r="I176" s="1153"/>
      <c r="K176" s="216"/>
    </row>
    <row r="177" spans="1:11" ht="15" customHeight="1" x14ac:dyDescent="0.25">
      <c r="A177" s="1158" t="str">
        <f>Traduzioni!G132</f>
        <v xml:space="preserve">Assicurazioni auto </v>
      </c>
      <c r="B177" s="545" t="str">
        <f>Traduzioni!G613</f>
        <v>RC V.M.</v>
      </c>
      <c r="C177" s="896"/>
      <c r="D177" s="897"/>
      <c r="E177" s="945"/>
      <c r="F177" s="945"/>
      <c r="G177" s="945"/>
      <c r="H177" s="948"/>
      <c r="I177" s="1153"/>
      <c r="K177" s="216"/>
    </row>
    <row r="178" spans="1:11" ht="15" customHeight="1" x14ac:dyDescent="0.25">
      <c r="A178" s="1159"/>
      <c r="B178" s="545" t="str">
        <f>Traduzioni!G607</f>
        <v>Casco Parziale</v>
      </c>
      <c r="C178" s="896"/>
      <c r="D178" s="897"/>
      <c r="E178" s="946"/>
      <c r="F178" s="946"/>
      <c r="G178" s="946"/>
      <c r="H178" s="949"/>
      <c r="I178" s="1153"/>
      <c r="K178" s="216"/>
    </row>
    <row r="179" spans="1:11" x14ac:dyDescent="0.25">
      <c r="A179" s="1159"/>
      <c r="B179" s="545" t="str">
        <f>Traduzioni!G608</f>
        <v>Collisione</v>
      </c>
      <c r="C179" s="896"/>
      <c r="D179" s="896"/>
      <c r="E179" s="946"/>
      <c r="F179" s="946"/>
      <c r="G179" s="946"/>
      <c r="H179" s="949"/>
      <c r="I179" s="1153"/>
    </row>
    <row r="180" spans="1:11" ht="15" customHeight="1" x14ac:dyDescent="0.25">
      <c r="A180" s="1159"/>
      <c r="B180" s="545" t="str">
        <f>Traduzioni!G609</f>
        <v>Occupanti</v>
      </c>
      <c r="C180" s="896"/>
      <c r="D180" s="897"/>
      <c r="E180" s="946"/>
      <c r="F180" s="946"/>
      <c r="G180" s="946"/>
      <c r="H180" s="949"/>
      <c r="I180" s="1153"/>
      <c r="K180" s="216"/>
    </row>
    <row r="181" spans="1:11" ht="15" customHeight="1" thickBot="1" x14ac:dyDescent="0.3">
      <c r="A181" s="1161"/>
      <c r="B181" s="546" t="str">
        <f>Traduzioni!G610</f>
        <v>Assistance</v>
      </c>
      <c r="C181" s="900"/>
      <c r="D181" s="901"/>
      <c r="E181" s="951"/>
      <c r="F181" s="951"/>
      <c r="G181" s="951"/>
      <c r="H181" s="952"/>
      <c r="I181" s="1154"/>
      <c r="K181" s="216"/>
    </row>
    <row r="182" spans="1:11" ht="30" hidden="1" customHeight="1" x14ac:dyDescent="0.25"/>
    <row r="183" spans="1:11" ht="82.5" customHeight="1" thickBot="1" x14ac:dyDescent="0.7">
      <c r="A183" s="1120" t="str">
        <f>Traduzioni!G163</f>
        <v xml:space="preserve">PREPARAZIONE DELL'APPUNTAMETNO DI CONSULENZA </v>
      </c>
      <c r="B183" s="1120"/>
      <c r="C183" s="1120"/>
      <c r="D183" s="1120"/>
      <c r="E183" s="1120"/>
      <c r="F183" s="1120"/>
      <c r="G183" s="1120"/>
      <c r="H183" s="1120"/>
      <c r="I183" s="1120"/>
    </row>
    <row r="184" spans="1:11" ht="30" customHeight="1" x14ac:dyDescent="0.25">
      <c r="A184" s="1188" t="str">
        <f>Traduzioni!G164</f>
        <v xml:space="preserve">Stampa per il cliente (o prepara in PDF se presenti online i seguenti documenti: </v>
      </c>
      <c r="B184" s="1189"/>
      <c r="C184" s="1189"/>
      <c r="D184" s="1189"/>
      <c r="E184" s="1190"/>
    </row>
    <row r="185" spans="1:11" ht="43.5" customHeight="1" x14ac:dyDescent="0.25">
      <c r="A185" s="1182" t="str">
        <f>Traduzioni!G165</f>
        <v xml:space="preserve">Se Cassa malati calcolata solo sommariamente sul totale, CM.TOT. Se calcolata su ogni signolo famibliare tutta la serie CM 1 ecc… compreso CM TOT se più di un membro in famiglia  </v>
      </c>
      <c r="B185" s="1183"/>
      <c r="C185" s="1183"/>
      <c r="D185" s="1183"/>
      <c r="E185" s="1184"/>
    </row>
    <row r="186" spans="1:11" ht="37.5" customHeight="1" x14ac:dyDescent="0.25">
      <c r="A186" s="1182" t="str">
        <f>Traduzioni!G166</f>
        <v>Preparare sul sistema offerta CM, che potrà semmai in consulenza essere chiusa online</v>
      </c>
      <c r="B186" s="1183"/>
      <c r="C186" s="1183"/>
      <c r="D186" s="1183"/>
      <c r="E186" s="1184"/>
    </row>
    <row r="187" spans="1:11" ht="30" customHeight="1" x14ac:dyDescent="0.25">
      <c r="A187" s="1182" t="str">
        <f>Traduzioni!G167</f>
        <v>Stampare i calcoli fiscali su moduli cantone e confederazione (vedi link precedenti)</v>
      </c>
      <c r="B187" s="1183"/>
      <c r="C187" s="1183"/>
      <c r="D187" s="1183"/>
      <c r="E187" s="1184"/>
    </row>
    <row r="188" spans="1:11" ht="30" customHeight="1" x14ac:dyDescent="0.25">
      <c r="A188" s="1182" t="str">
        <f>Traduzioni!G168</f>
        <v xml:space="preserve">Stampare il presente modulo di analisi, per ripetizione presupposti di base in consulenza </v>
      </c>
      <c r="B188" s="1183"/>
      <c r="C188" s="1183"/>
      <c r="D188" s="1183"/>
      <c r="E188" s="1184"/>
    </row>
    <row r="189" spans="1:11" ht="30" customHeight="1" x14ac:dyDescent="0.25">
      <c r="A189" s="1182" t="str">
        <f>Traduzioni!G169</f>
        <v xml:space="preserve">Stampare schemi fabbisogno, rendite e decesso per valutazione previedenziale </v>
      </c>
      <c r="B189" s="1183"/>
      <c r="C189" s="1183"/>
      <c r="D189" s="1183"/>
      <c r="E189" s="1184"/>
    </row>
    <row r="190" spans="1:11" ht="30" customHeight="1" x14ac:dyDescent="0.25">
      <c r="A190" s="1182" t="str">
        <f>Traduzioni!G170</f>
        <v xml:space="preserve">Stampare calcolo finanziabilità o finanziamento se il cliente è interessato ad abitazione di proprietà  </v>
      </c>
      <c r="B190" s="1183"/>
      <c r="C190" s="1183"/>
      <c r="D190" s="1183"/>
      <c r="E190" s="1184"/>
    </row>
    <row r="191" spans="1:11" ht="30" customHeight="1" thickBot="1" x14ac:dyDescent="0.3">
      <c r="A191" s="1185" t="str">
        <f>Traduzioni!G171</f>
        <v>Preparare proposta previdenza nel sistema pronta per essere ev. inoltrata online (o stampare se non è possibile)</v>
      </c>
      <c r="B191" s="1186"/>
      <c r="C191" s="1186"/>
      <c r="D191" s="1186"/>
      <c r="E191" s="1187"/>
    </row>
    <row r="192" spans="1:11" x14ac:dyDescent="0.25">
      <c r="A192" s="110"/>
      <c r="B192" s="110"/>
      <c r="C192" s="110"/>
      <c r="D192" s="110"/>
      <c r="E192" s="110"/>
    </row>
    <row r="193" spans="1:5" ht="12.75" customHeight="1" x14ac:dyDescent="0.25">
      <c r="A193" s="1181"/>
      <c r="B193" s="1181"/>
      <c r="C193" s="1181"/>
      <c r="D193" s="1181"/>
      <c r="E193" s="1181"/>
    </row>
    <row r="194" spans="1:5" ht="54.75" customHeight="1" x14ac:dyDescent="0.25"/>
  </sheetData>
  <sheetProtection sheet="1" objects="1" scenarios="1"/>
  <mergeCells count="165">
    <mergeCell ref="A183:I183"/>
    <mergeCell ref="A156:F156"/>
    <mergeCell ref="G156:I156"/>
    <mergeCell ref="A135:I135"/>
    <mergeCell ref="D151:E151"/>
    <mergeCell ref="A193:E193"/>
    <mergeCell ref="A190:E190"/>
    <mergeCell ref="A191:E191"/>
    <mergeCell ref="A184:E184"/>
    <mergeCell ref="A185:E185"/>
    <mergeCell ref="D143:E143"/>
    <mergeCell ref="D138:E138"/>
    <mergeCell ref="D139:E139"/>
    <mergeCell ref="D140:E140"/>
    <mergeCell ref="D141:E141"/>
    <mergeCell ref="A186:E186"/>
    <mergeCell ref="A187:E187"/>
    <mergeCell ref="A188:E188"/>
    <mergeCell ref="A189:E189"/>
    <mergeCell ref="A153:I153"/>
    <mergeCell ref="C154:D154"/>
    <mergeCell ref="F154:H154"/>
    <mergeCell ref="F152:G152"/>
    <mergeCell ref="D149:E149"/>
    <mergeCell ref="F151:G151"/>
    <mergeCell ref="H151:I151"/>
    <mergeCell ref="F148:G148"/>
    <mergeCell ref="F136:I143"/>
    <mergeCell ref="D142:E142"/>
    <mergeCell ref="F149:G149"/>
    <mergeCell ref="I169:I171"/>
    <mergeCell ref="I172:I181"/>
    <mergeCell ref="A158:A162"/>
    <mergeCell ref="A169:A171"/>
    <mergeCell ref="A172:A176"/>
    <mergeCell ref="A177:A181"/>
    <mergeCell ref="A163:A168"/>
    <mergeCell ref="I158:I162"/>
    <mergeCell ref="I163:I168"/>
    <mergeCell ref="D150:E150"/>
    <mergeCell ref="A145:C145"/>
    <mergeCell ref="A146:C146"/>
    <mergeCell ref="F150:G150"/>
    <mergeCell ref="D145:I145"/>
    <mergeCell ref="D146:I146"/>
    <mergeCell ref="H149:I149"/>
    <mergeCell ref="H150:I150"/>
    <mergeCell ref="D148:E148"/>
    <mergeCell ref="A13:B13"/>
    <mergeCell ref="D57:I58"/>
    <mergeCell ref="D23:F24"/>
    <mergeCell ref="D25:F26"/>
    <mergeCell ref="G23:I24"/>
    <mergeCell ref="G25:I26"/>
    <mergeCell ref="B109:C109"/>
    <mergeCell ref="D36:F39"/>
    <mergeCell ref="B105:C105"/>
    <mergeCell ref="B100:C100"/>
    <mergeCell ref="A99:I99"/>
    <mergeCell ref="A92:I92"/>
    <mergeCell ref="B104:C104"/>
    <mergeCell ref="B102:C102"/>
    <mergeCell ref="B87:I87"/>
    <mergeCell ref="D103:I110"/>
    <mergeCell ref="D101:I102"/>
    <mergeCell ref="D88:I91"/>
    <mergeCell ref="B107:C107"/>
    <mergeCell ref="B106:C106"/>
    <mergeCell ref="B82:E82"/>
    <mergeCell ref="B85:I85"/>
    <mergeCell ref="B86:I86"/>
    <mergeCell ref="D41:F42"/>
    <mergeCell ref="A17:I17"/>
    <mergeCell ref="B103:C103"/>
    <mergeCell ref="D80:E80"/>
    <mergeCell ref="D76:E76"/>
    <mergeCell ref="D77:E77"/>
    <mergeCell ref="D78:E78"/>
    <mergeCell ref="D100:I100"/>
    <mergeCell ref="D93:I93"/>
    <mergeCell ref="D94:I98"/>
    <mergeCell ref="B34:C34"/>
    <mergeCell ref="D18:I22"/>
    <mergeCell ref="D45:I55"/>
    <mergeCell ref="B101:C101"/>
    <mergeCell ref="A69:I69"/>
    <mergeCell ref="B24:C24"/>
    <mergeCell ref="A27:I27"/>
    <mergeCell ref="D35:I35"/>
    <mergeCell ref="A29:C29"/>
    <mergeCell ref="B21:C21"/>
    <mergeCell ref="B75:I75"/>
    <mergeCell ref="A84:I84"/>
    <mergeCell ref="F79:I83"/>
    <mergeCell ref="F76:I78"/>
    <mergeCell ref="B91:C91"/>
    <mergeCell ref="A1:I1"/>
    <mergeCell ref="D2:I8"/>
    <mergeCell ref="D10:F11"/>
    <mergeCell ref="D12:F12"/>
    <mergeCell ref="D13:F13"/>
    <mergeCell ref="D14:F14"/>
    <mergeCell ref="D15:F16"/>
    <mergeCell ref="G10:I11"/>
    <mergeCell ref="G12:I12"/>
    <mergeCell ref="G13:I13"/>
    <mergeCell ref="G14:I14"/>
    <mergeCell ref="G15:I16"/>
    <mergeCell ref="A9:I9"/>
    <mergeCell ref="A6:C6"/>
    <mergeCell ref="A5:C5"/>
    <mergeCell ref="A10:B10"/>
    <mergeCell ref="A12:B12"/>
    <mergeCell ref="A14:B14"/>
    <mergeCell ref="B4:C4"/>
    <mergeCell ref="A8:C8"/>
    <mergeCell ref="B3:C3"/>
    <mergeCell ref="A11:B11"/>
    <mergeCell ref="A15:B15"/>
    <mergeCell ref="A16:B16"/>
    <mergeCell ref="D43:F44"/>
    <mergeCell ref="G36:I39"/>
    <mergeCell ref="G41:I42"/>
    <mergeCell ref="G43:I44"/>
    <mergeCell ref="A120:I120"/>
    <mergeCell ref="D28:I34"/>
    <mergeCell ref="D79:E79"/>
    <mergeCell ref="H112:I112"/>
    <mergeCell ref="B110:C110"/>
    <mergeCell ref="B108:C108"/>
    <mergeCell ref="B90:C90"/>
    <mergeCell ref="B70:I70"/>
    <mergeCell ref="B71:I71"/>
    <mergeCell ref="B72:I72"/>
    <mergeCell ref="B73:I73"/>
    <mergeCell ref="B74:I74"/>
    <mergeCell ref="D81:E81"/>
    <mergeCell ref="D83:E83"/>
    <mergeCell ref="G114:G119"/>
    <mergeCell ref="A111:I111"/>
    <mergeCell ref="H113:I119"/>
    <mergeCell ref="B147:I147"/>
    <mergeCell ref="D60:I68"/>
    <mergeCell ref="D136:E136"/>
    <mergeCell ref="E172:E176"/>
    <mergeCell ref="F172:F176"/>
    <mergeCell ref="G172:G176"/>
    <mergeCell ref="H172:H176"/>
    <mergeCell ref="E177:E181"/>
    <mergeCell ref="F177:F181"/>
    <mergeCell ref="G177:G181"/>
    <mergeCell ref="H177:H181"/>
    <mergeCell ref="E158:E161"/>
    <mergeCell ref="F158:F161"/>
    <mergeCell ref="G158:G161"/>
    <mergeCell ref="H158:H161"/>
    <mergeCell ref="E164:E167"/>
    <mergeCell ref="F164:F167"/>
    <mergeCell ref="G164:G167"/>
    <mergeCell ref="H164:H167"/>
    <mergeCell ref="D137:E137"/>
    <mergeCell ref="A144:I144"/>
    <mergeCell ref="H148:I148"/>
    <mergeCell ref="A152:E152"/>
    <mergeCell ref="H152:I152"/>
  </mergeCells>
  <dataValidations count="13">
    <dataValidation allowBlank="1" showInputMessage="1" showErrorMessage="1" promptTitle="Note" prompt="Inserisci qui le note relative alla situazione famigliare del cliente" sqref="D25 D18 D23 G25" xr:uid="{CBA0541A-C6DE-4FFC-975D-B39D7C8BC8B2}"/>
    <dataValidation allowBlank="1" showInputMessage="1" showErrorMessage="1" promptTitle="FIGLI" prompt="Inserisci qui le note relative ai figli, alimenti, figli all'estero, necessità per i figli, ecc..." sqref="D28:I34" xr:uid="{53985A51-4122-489D-805E-345A8225CFEB}"/>
    <dataValidation allowBlank="1" showInputMessage="1" showErrorMessage="1" promptTitle="SITUAZIONE FINANZIARIA" prompt="Inserisci qui le note relative alla situazione finanziaria o lavorativa del cleinte" sqref="D45 D57" xr:uid="{18FAD041-7334-419B-B031-1511BBE57FAF}"/>
    <dataValidation allowBlank="1" showInputMessage="1" showErrorMessage="1" promptTitle="NOTA OBBLIGATORIA:" prompt="QUALI DESIDERI E PRIORITÀ HA IL CLIENTE PER LA SUA ASSICURAZIONE SANITARIA?" sqref="H113:I119" xr:uid="{FD8A6926-D276-455B-B740-57D25E5B40AA}"/>
    <dataValidation allowBlank="1" showInputMessage="1" showErrorMessage="1" promptTitle="IPOTECA" prompt="NOTE RELATIVE AD UN IMMOBILE GIÀ ESISTENTE O GIÀ INDIVIDUATO. QUESTA SEZIONE SERVE PER FARE UNA REALISTICA PROPOSTA IPOTECARIA" sqref="D101 D103" xr:uid="{48F66604-AECB-4CD3-B4A7-6E8D4030E4E0}"/>
    <dataValidation allowBlank="1" showInputMessage="1" showErrorMessage="1" promptTitle="NOTE FINANZIABILITÀ" prompt="QUESTA SEZIONE SERVE PER CALCOLARE LA FINANZIABILITÀ ORA E NEL TEMPO DEL CLIENTE" sqref="D94:I98" xr:uid="{F894FBD6-1ED9-433F-8140-1BBE91FDCB28}"/>
    <dataValidation allowBlank="1" showInputMessage="1" showErrorMessage="1" prompt="NOTE IN MERITO ALLA SITUAZIONE FISCALE DEL CLIENTE" sqref="D88:I91" xr:uid="{1BEACFEE-24C8-4230-8F7E-2A1B5AB5511A}"/>
    <dataValidation allowBlank="1" showInputMessage="1" showErrorMessage="1" promptTitle="3. PILASTRI" prompt="INSERIRE QUI I DATI RELATIVI AI TERZI PILASTRI ATTUALMENTE IN VIGORE" sqref="D80 F76 B75:I75 D76" xr:uid="{E0FA9222-CB55-4879-828C-5818AD310AC2}"/>
    <dataValidation allowBlank="1" showInputMessage="1" showErrorMessage="1" promptTitle="NOTE" prompt="INSERIRE QUI NOTE SUGLI OBIETTIVI DI RISPARIMO" sqref="D81" xr:uid="{2CE1FFEB-E1B7-4DF0-9374-F13976810527}"/>
    <dataValidation allowBlank="1" showInputMessage="1" showErrorMessage="1" promptTitle="Inserisci" prompt="Inserisci il numero di anni per i quali il cliente vorrebbe i figli potessero studiare" sqref="D149:D151" xr:uid="{DD10D000-2EB5-45DC-93A4-10CBCEB6CD3A}"/>
    <dataValidation allowBlank="1" showInputMessage="1" showErrorMessage="1" promptTitle="Sseleziona o inserisci:" prompt="1= stipendio annuo_x000a_12=stipendio mensile x 12 mensilità_x000a_13= stipendio mensile con tredicesima" sqref="B40" xr:uid="{A383CEBB-EEB0-41AC-BE48-BE2CCD4D93C1}"/>
    <dataValidation allowBlank="1" showInputMessage="1" showErrorMessage="1" promptTitle="Seleziona o inserisci:" prompt="1= stipendio annuo_x000a_12=stipendio mensile x 12 mensilità_x000a_13= stipendio mensile con tredicesima" sqref="C40" xr:uid="{BC7D5BD6-26B3-4DDC-8229-E38F494248C9}"/>
    <dataValidation allowBlank="1" showInputMessage="1" showErrorMessage="1" promptTitle="Note" prompt="Inserisci qui le note relative agli obiettivi del cliente" sqref="D10" xr:uid="{C3E05C0C-A57A-424C-BD04-8A9ACD9AB6A3}"/>
  </dataValidations>
  <pageMargins left="0.7" right="0.7" top="0.75" bottom="0.75" header="0.3" footer="0.3"/>
  <pageSetup paperSize="9" orientation="landscape" r:id="rId1"/>
  <rowBreaks count="3" manualBreakCount="3">
    <brk id="16" max="16383" man="1"/>
    <brk id="68" max="16383" man="1"/>
    <brk id="182" max="16383" man="1"/>
  </rowBreaks>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5B21F1AE-B34F-48EA-85F8-C53FA4AA8558}">
          <x14:formula1>
            <xm:f>'Sigle per Analisi'!$B$37:$B$48</xm:f>
          </x14:formula1>
          <xm:sqref>C10:C16 I172 I158 I163 I169</xm:sqref>
        </x14:dataValidation>
        <x14:dataValidation type="list" allowBlank="1" showInputMessage="1" showErrorMessage="1" xr:uid="{2B3F9817-1057-4FB9-86E6-AAA5EDB2370D}">
          <x14:formula1>
            <xm:f>'Sigle per Analisi'!$B$4:$B$7</xm:f>
          </x14:formula1>
          <xm:sqref>C20</xm:sqref>
        </x14:dataValidation>
        <x14:dataValidation type="list" allowBlank="1" showInputMessage="1" showErrorMessage="1" xr:uid="{36D9D55B-7645-4331-9AFE-990A216127ED}">
          <x14:formula1>
            <xm:f>'Sigle per Analisi'!$B$34:$B$36</xm:f>
          </x14:formula1>
          <xm:sqref>B22:C22</xm:sqref>
        </x14:dataValidation>
        <x14:dataValidation type="list" allowBlank="1" showInputMessage="1" showErrorMessage="1" xr:uid="{2F0F9F58-059B-46C6-BBA4-136F435B4A11}">
          <x14:formula1>
            <xm:f>'Sigle per Analisi'!$B$8:$B$16</xm:f>
          </x14:formula1>
          <xm:sqref>B37:C37</xm:sqref>
        </x14:dataValidation>
        <x14:dataValidation type="list" allowBlank="1" showInputMessage="1" showErrorMessage="1" xr:uid="{142C84CA-B9BC-41D9-A875-52CAD4F5F127}">
          <x14:formula1>
            <xm:f>'Sigle per Analisi'!$B$21:$B$27</xm:f>
          </x14:formula1>
          <xm:sqref>B46:C46</xm:sqref>
        </x14:dataValidation>
        <x14:dataValidation type="list" allowBlank="1" showInputMessage="1" showErrorMessage="1" xr:uid="{3D6FB049-AE1D-4BC0-A411-838E03161A5D}">
          <x14:formula1>
            <xm:f>'Sigle per Analisi'!$B$28:$B$30</xm:f>
          </x14:formula1>
          <xm:sqref>B50:C50</xm:sqref>
        </x14:dataValidation>
        <x14:dataValidation type="list" allowBlank="1" showInputMessage="1" showErrorMessage="1" xr:uid="{D96BB08D-5996-4F07-B2A2-5C79C6E74D10}">
          <x14:formula1>
            <xm:f>'Sigle per Analisi'!$B$55:$B$59</xm:f>
          </x14:formula1>
          <xm:sqref>B89:C89</xm:sqref>
        </x14:dataValidation>
        <x14:dataValidation type="list" allowBlank="1" showInputMessage="1" showErrorMessage="1" xr:uid="{D6EDE55B-22C5-4627-ACBE-F4024A0F921A}">
          <x14:formula1>
            <xm:f>'Sigle per Analisi'!$B$51:$B$53</xm:f>
          </x14:formula1>
          <xm:sqref>B118:F118</xm:sqref>
        </x14:dataValidation>
        <x14:dataValidation type="list" allowBlank="1" showInputMessage="1" showErrorMessage="1" xr:uid="{44A2080A-FE58-469F-8F43-27FFCB4B1031}">
          <x14:formula1>
            <xm:f>'Sigle per Analisi'!$B$65:$B$68</xm:f>
          </x14:formula1>
          <xm:sqref>B149:B151</xm:sqref>
        </x14:dataValidation>
        <x14:dataValidation type="list" allowBlank="1" showInputMessage="1" showErrorMessage="1" xr:uid="{42971BD7-B53F-4349-803E-CAF81B339302}">
          <x14:formula1>
            <xm:f>'Sigle per Analisi'!$B$70:$B$71</xm:f>
          </x14:formula1>
          <xm:sqref>C149:C151</xm:sqref>
        </x14:dataValidation>
        <x14:dataValidation type="list" allowBlank="1" showInputMessage="1" showErrorMessage="1" promptTitle="Selezionare - Auswählen" prompt="Stato civile - Zivilstand (1=singole / 2 = coniugato-Verheiratet  / 3 = convivente-Partner)" xr:uid="{A933FB3B-25CA-437E-BBAD-418D0F78C2FB}">
          <x14:formula1>
            <xm:f>'Sigle per Analisi'!$B$4:$B$7</xm:f>
          </x14:formula1>
          <xm:sqref>B20</xm:sqref>
        </x14:dataValidation>
        <x14:dataValidation type="list" allowBlank="1" showInputMessage="1" showErrorMessage="1" xr:uid="{E5E93E01-E301-453F-AD7C-670F72CDC30F}">
          <x14:formula1>
            <xm:f>'Sigle per Analisi'!$B$95:$B$100</xm:f>
          </x14:formula1>
          <xm:sqref>B4</xm:sqref>
        </x14:dataValidation>
        <x14:dataValidation type="list" allowBlank="1" showInputMessage="1" showErrorMessage="1" xr:uid="{4755E6A3-AE65-4E7F-B3EA-A50E59C543BC}">
          <x14:formula1>
            <xm:f>'Sigle per Analisi'!$B$18:$B$20</xm:f>
          </x14:formula1>
          <xm:sqref>B39:C39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38C10-6C83-4D89-A03D-AF8F2250002F}">
  <sheetPr codeName="Foglio7"/>
  <dimension ref="A1:IV177"/>
  <sheetViews>
    <sheetView showGridLines="0" showRowColHeaders="0" topLeftCell="A65" zoomScale="120" zoomScaleNormal="120" workbookViewId="0">
      <selection activeCell="B11" sqref="B11"/>
    </sheetView>
  </sheetViews>
  <sheetFormatPr defaultColWidth="12.1796875" defaultRowHeight="15.5" x14ac:dyDescent="0.35"/>
  <cols>
    <col min="1" max="1" width="44" style="1" customWidth="1"/>
    <col min="2" max="2" width="33.453125" style="1" customWidth="1"/>
    <col min="3" max="3" width="15.453125" style="1" customWidth="1"/>
    <col min="4" max="16384" width="12.1796875" style="1"/>
  </cols>
  <sheetData>
    <row r="1" spans="1:8" ht="20" x14ac:dyDescent="0.4">
      <c r="A1" s="1216" t="str">
        <f>Traduzioni!G414</f>
        <v>NOTA PER IL CONSULENTE</v>
      </c>
      <c r="B1" s="1217"/>
      <c r="C1" s="279"/>
      <c r="D1" s="279"/>
    </row>
    <row r="2" spans="1:8" ht="45" customHeight="1" thickBot="1" x14ac:dyDescent="0.4">
      <c r="A2" s="1230" t="str">
        <f>Traduzioni!G415</f>
        <v>Usa questa tabella per correggere eventuali valori preimpostati dal calcolo automatizzato. Per modificare dati, elimina la protezione del foglio ed esegui le modifiche.</v>
      </c>
      <c r="B2" s="1231"/>
      <c r="C2" s="317"/>
      <c r="D2" s="279"/>
    </row>
    <row r="3" spans="1:8" ht="14.15" customHeight="1" thickBot="1" x14ac:dyDescent="0.4">
      <c r="A3" s="279"/>
      <c r="B3" s="279"/>
      <c r="C3" s="279"/>
      <c r="D3" s="279"/>
    </row>
    <row r="4" spans="1:8" ht="15.75" hidden="1" customHeight="1" x14ac:dyDescent="0.35">
      <c r="A4" s="318" t="s">
        <v>31</v>
      </c>
      <c r="B4" s="1223">
        <f>ANALYSIS!B19</f>
        <v>0</v>
      </c>
      <c r="C4" s="1223"/>
      <c r="D4" s="279"/>
    </row>
    <row r="5" spans="1:8" ht="16" hidden="1" customHeight="1" x14ac:dyDescent="0.35">
      <c r="A5" s="319" t="s">
        <v>32</v>
      </c>
      <c r="B5" s="1224" t="s">
        <v>141</v>
      </c>
      <c r="C5" s="1224"/>
      <c r="D5" s="279"/>
    </row>
    <row r="6" spans="1:8" ht="15" hidden="1" customHeight="1" x14ac:dyDescent="0.35">
      <c r="A6" s="318" t="s">
        <v>33</v>
      </c>
      <c r="B6" s="1225" t="s">
        <v>196</v>
      </c>
      <c r="C6" s="1225"/>
      <c r="D6" s="279"/>
    </row>
    <row r="7" spans="1:8" ht="15.75" hidden="1" customHeight="1" x14ac:dyDescent="0.35">
      <c r="A7" s="320" t="s">
        <v>2</v>
      </c>
      <c r="B7" s="1226">
        <f ca="1">NOW()</f>
        <v>45680.292758449075</v>
      </c>
      <c r="C7" s="1227"/>
      <c r="D7" s="279"/>
    </row>
    <row r="8" spans="1:8" ht="21.5" customHeight="1" thickBot="1" x14ac:dyDescent="0.45">
      <c r="A8" s="1228" t="str">
        <f>Traduzioni!G475</f>
        <v>Dati preimpostati per calcolo previdenziale</v>
      </c>
      <c r="B8" s="1229"/>
      <c r="C8" s="321"/>
      <c r="D8" s="279"/>
    </row>
    <row r="9" spans="1:8" ht="16" hidden="1" thickBot="1" x14ac:dyDescent="0.4">
      <c r="A9" s="322" t="str">
        <f>Traduzioni!G416</f>
        <v>MODULO DI CONTROLLO</v>
      </c>
      <c r="B9" s="323" t="str">
        <f>Traduzioni!G417</f>
        <v>DATI FORNITI DAL CLIENTE:</v>
      </c>
      <c r="C9" s="279"/>
      <c r="D9" s="279"/>
      <c r="F9" s="11"/>
      <c r="G9" s="11"/>
      <c r="H9" s="11"/>
    </row>
    <row r="10" spans="1:8" x14ac:dyDescent="0.35">
      <c r="A10" s="712" t="str">
        <f>Traduzioni!G418</f>
        <v>Calcolo previdenziale per:</v>
      </c>
      <c r="B10" s="713">
        <f>ANALYSIS!B19</f>
        <v>0</v>
      </c>
      <c r="C10" s="714" t="str">
        <f>Traduzioni!G443</f>
        <v>Nome e cognome</v>
      </c>
      <c r="D10" s="715"/>
    </row>
    <row r="11" spans="1:8" x14ac:dyDescent="0.35">
      <c r="A11" s="716" t="str">
        <f>Traduzioni!G419</f>
        <v>Età</v>
      </c>
      <c r="B11" s="717">
        <f ca="1">'Parametri generali'!B7</f>
        <v>125</v>
      </c>
      <c r="C11" s="714" t="str">
        <f>Traduzioni!G444</f>
        <v>Anni</v>
      </c>
      <c r="D11" s="715"/>
    </row>
    <row r="12" spans="1:8" ht="26.5" x14ac:dyDescent="0.35">
      <c r="A12" s="716" t="str">
        <f>Traduzioni!G420</f>
        <v>N. Figli minorenni o agli studi:</v>
      </c>
      <c r="B12" s="717">
        <f>ANALYSIS!B28</f>
        <v>0</v>
      </c>
      <c r="C12" s="714" t="str">
        <f>Traduzioni!G445</f>
        <v>n. figli</v>
      </c>
      <c r="D12" s="715"/>
    </row>
    <row r="13" spans="1:8" x14ac:dyDescent="0.35">
      <c r="A13" s="716" t="str">
        <f>Traduzioni!G421</f>
        <v>Sesso (Uomo =1 / Donna = 0)</v>
      </c>
      <c r="B13" s="717">
        <f>ANALYSIS!B22</f>
        <v>0</v>
      </c>
      <c r="C13" s="714" t="str">
        <f>Traduzioni!G446</f>
        <v xml:space="preserve">1 / 0 </v>
      </c>
      <c r="D13" s="715"/>
    </row>
    <row r="14" spans="1:8" x14ac:dyDescent="0.35">
      <c r="A14" s="716" t="str">
        <f>Traduzioni!G422</f>
        <v>Salario Attuale lordo annuo</v>
      </c>
      <c r="B14" s="718">
        <f>ANALYSIS!B38*ANALYSIS!B40</f>
        <v>0</v>
      </c>
      <c r="C14" s="714" t="str">
        <f>Traduzioni!G447</f>
        <v>importo annuo</v>
      </c>
      <c r="D14" s="715"/>
      <c r="F14" s="11"/>
    </row>
    <row r="15" spans="1:8" x14ac:dyDescent="0.35">
      <c r="A15" s="719" t="str">
        <f>Traduzioni!G423</f>
        <v>Fabbisogno annuo (Pensione/invalid.)</v>
      </c>
      <c r="B15" s="720">
        <f>IF(ANALYSIS!B43=0,ANALYSIS!B38*ANALYSIS!B39,ANALYSIS!B43*12)</f>
        <v>0</v>
      </c>
      <c r="C15" s="714" t="str">
        <f>Traduzioni!G448</f>
        <v>importo annuo</v>
      </c>
      <c r="D15" s="715"/>
    </row>
    <row r="16" spans="1:8" x14ac:dyDescent="0.35">
      <c r="A16" s="719" t="str">
        <f>Traduzioni!G424</f>
        <v>Fabbisogno annuo in caso di vedovanza</v>
      </c>
      <c r="B16" s="720">
        <f>IF(ANALYSIS!B42=0,ANALYSIS!C38*ANALYSIS!C39,ANALYSIS!B42*12)</f>
        <v>0</v>
      </c>
      <c r="C16" s="714"/>
      <c r="D16" s="715"/>
    </row>
    <row r="17" spans="1:4" x14ac:dyDescent="0.35">
      <c r="A17" s="716" t="str">
        <f>Traduzioni!G425</f>
        <v>Impegni da liquidare entro il pens.</v>
      </c>
      <c r="B17" s="721">
        <f>ANALYSIS!B44</f>
        <v>0</v>
      </c>
      <c r="C17" s="714" t="str">
        <f>Traduzioni!G449</f>
        <v>Capitale</v>
      </c>
      <c r="D17" s="715"/>
    </row>
    <row r="18" spans="1:4" x14ac:dyDescent="0.35">
      <c r="A18" s="716" t="str">
        <f>Traduzioni!G426</f>
        <v>Costi annui per leasing, crediti privati</v>
      </c>
      <c r="B18" s="721">
        <f>ANALYSIS!B97*12</f>
        <v>0</v>
      </c>
      <c r="C18" s="714"/>
      <c r="D18" s="715"/>
    </row>
    <row r="19" spans="1:4" x14ac:dyDescent="0.35">
      <c r="A19" s="716" t="str">
        <f>Traduzioni!G427</f>
        <v>Capitale disponibile x acquisto abitazione</v>
      </c>
      <c r="B19" s="721">
        <f>ANALYSIS!B93</f>
        <v>0</v>
      </c>
      <c r="C19" s="714"/>
      <c r="D19" s="715"/>
    </row>
    <row r="20" spans="1:4" x14ac:dyDescent="0.35">
      <c r="A20" s="716" t="str">
        <f>Traduzioni!G428</f>
        <v>Risparmio attuale annuo</v>
      </c>
      <c r="B20" s="721">
        <f>ANALYSIS!B77*12</f>
        <v>0</v>
      </c>
      <c r="C20" s="714"/>
      <c r="D20" s="715"/>
    </row>
    <row r="21" spans="1:4" x14ac:dyDescent="0.35">
      <c r="A21" s="716" t="str">
        <f>Traduzioni!G429</f>
        <v>Rsiparmio annuo per obiettivo abitazione</v>
      </c>
      <c r="B21" s="721">
        <f>ANALYSIS!B78*12</f>
        <v>0</v>
      </c>
      <c r="C21" s="714"/>
      <c r="D21" s="715"/>
    </row>
    <row r="22" spans="1:4" x14ac:dyDescent="0.35">
      <c r="A22" s="716" t="str">
        <f>Traduzioni!G430</f>
        <v>Protezione salario malattia (%)</v>
      </c>
      <c r="B22" s="722">
        <f>IF(ANALYSIS!B52=1,80%,ANALYSIS!B54)</f>
        <v>0</v>
      </c>
      <c r="C22" s="714" t="str">
        <f>Traduzioni!G450</f>
        <v>percentuale</v>
      </c>
      <c r="D22" s="715"/>
    </row>
    <row r="23" spans="1:4" x14ac:dyDescent="0.35">
      <c r="A23" s="716" t="str">
        <f>Traduzioni!G431</f>
        <v>Indennità giornaliera Lainf (%)</v>
      </c>
      <c r="B23" s="722">
        <f>IF(ANALYSIS!B46='Sigle per Analisi'!B22,80%,IF(ANALYSIS!B46='Sigle per Analisi'!B23,ANALYSIS!B53,IF(ANALYSIS!B46='Sigle per Analisi'!B24,80%,0)))</f>
        <v>0</v>
      </c>
      <c r="C23" s="714" t="str">
        <f>Traduzioni!G451</f>
        <v>percentuale</v>
      </c>
      <c r="D23" s="715"/>
    </row>
    <row r="24" spans="1:4" x14ac:dyDescent="0.35">
      <c r="A24" s="716" t="str">
        <f>Traduzioni!G432</f>
        <v>Invalidità Lainf (%)</v>
      </c>
      <c r="B24" s="722">
        <f>IF(ANALYSIS!B46='Sigle per Analisi'!B22,90%,IF(ANALYSIS!B46='Sigle per Analisi'!B23,B25*13/B14,IF(ANALYSIS!B46='Sigle per Analisi'!B24,90%,0)))</f>
        <v>0</v>
      </c>
      <c r="C24" s="714" t="str">
        <f>Traduzioni!G452</f>
        <v>percentuale</v>
      </c>
      <c r="D24" s="715"/>
    </row>
    <row r="25" spans="1:4" x14ac:dyDescent="0.35">
      <c r="A25" s="716" t="str">
        <f>Traduzioni!G433</f>
        <v>Rendita AVS/AI ante splitting (mensile a scala 44)</v>
      </c>
      <c r="B25" s="723">
        <f>IF(ANALYSIS!B63=0,C25,ANALYSIS!B63)</f>
        <v>1260</v>
      </c>
      <c r="C25" s="724">
        <f>scala44!C65</f>
        <v>1260</v>
      </c>
      <c r="D25" s="715"/>
    </row>
    <row r="26" spans="1:4" ht="26.5" x14ac:dyDescent="0.35">
      <c r="A26" s="716" t="str">
        <f>Traduzioni!G434</f>
        <v>Rendita AVS/AI post splitting (ridotta per coniugati. 150% max e senza rendita figli) (mensile a scala 44)</v>
      </c>
      <c r="B26" s="723">
        <f>IF(ANALYSIS!B64=0,C26,ANALYSIS!B64)</f>
        <v>1260</v>
      </c>
      <c r="C26" s="724">
        <f>scala44!C74</f>
        <v>1260</v>
      </c>
      <c r="D26" s="715"/>
    </row>
    <row r="27" spans="1:4" x14ac:dyDescent="0.35">
      <c r="A27" s="716" t="str">
        <f>Traduzioni!G435</f>
        <v>Scala applicabile: (44?)</v>
      </c>
      <c r="B27" s="717">
        <f>'Parametri generali'!B11</f>
        <v>44</v>
      </c>
      <c r="C27" s="714" t="str">
        <f>Traduzioni!G453</f>
        <v>numero scala</v>
      </c>
      <c r="D27" s="715"/>
    </row>
    <row r="28" spans="1:4" x14ac:dyDescent="0.35">
      <c r="A28" s="716" t="str">
        <f>Traduzioni!G436</f>
        <v>Rendita LPP invalidità annua</v>
      </c>
      <c r="B28" s="723">
        <f>IF(ANALYSIS!B66=0,IF(ANALYSIS!B46='Sigle per Analisi'!B22,C28,IF(ANALYSIS!B46='Sigle per Analisi'!B24,C28,ANALYSIS!B66)))</f>
        <v>0</v>
      </c>
      <c r="C28" s="724">
        <f>'Calcolo LPP Cliente'!E59</f>
        <v>0</v>
      </c>
      <c r="D28" s="715"/>
    </row>
    <row r="29" spans="1:4" x14ac:dyDescent="0.35">
      <c r="A29" s="716" t="str">
        <f>Traduzioni!G437</f>
        <v>Rendita LPP per Pensione annua</v>
      </c>
      <c r="B29" s="723">
        <f>IF(ANALYSIS!B$67&gt;1,ANALYSIS!B$67,IF(ANALYSIS!B$46='Sigle per Analisi'!B22,IF(B27&gt;35,C29,'Calcolo simulazione LPP Cliente'!E67),0))</f>
        <v>0</v>
      </c>
      <c r="C29" s="724">
        <f>C28</f>
        <v>0</v>
      </c>
      <c r="D29" s="715"/>
    </row>
    <row r="30" spans="1:4" x14ac:dyDescent="0.35">
      <c r="A30" s="716" t="str">
        <f>Traduzioni!G438</f>
        <v>Capitale attuale su LPP per Abitazione</v>
      </c>
      <c r="B30" s="723">
        <f>IF(ANALYSIS!B46&lt;&gt;'Sigle per Analisi'!B22,0,IF(ANALYSIS!B94&gt;1,ANALYSIS!B94,'Calcolo simulazione LPP Cliente'!E62))</f>
        <v>0</v>
      </c>
      <c r="C30" s="724"/>
      <c r="D30" s="715"/>
    </row>
    <row r="31" spans="1:4" x14ac:dyDescent="0.35">
      <c r="A31" s="716" t="str">
        <f>Traduzioni!G439</f>
        <v>Contributo annuo LPP totale</v>
      </c>
      <c r="B31" s="723">
        <f>IF(ANALYSIS!B46&lt;&gt;'Sigle per Analisi'!B22,0,IF(ANALYSIS!B65=0,'Calcolo simulazione LPP Cliente'!E66, ANALYSIS!B65*2*12))</f>
        <v>0</v>
      </c>
      <c r="C31" s="724"/>
      <c r="D31" s="715"/>
    </row>
    <row r="32" spans="1:4" ht="27" thickBot="1" x14ac:dyDescent="0.4">
      <c r="A32" s="719" t="str">
        <f>Traduzioni!G440</f>
        <v>Il cliente ha diritto a una rendita di vedovanza AVS se il partner decede?</v>
      </c>
      <c r="B32" s="725">
        <f ca="1">'calcoli Cliente'!B82</f>
        <v>0</v>
      </c>
      <c r="C32" s="714" t="str">
        <f>Traduzioni!G454</f>
        <v xml:space="preserve">Si=1 /  No=0 </v>
      </c>
      <c r="D32" s="715"/>
    </row>
    <row r="33" spans="1:256" ht="27" thickBot="1" x14ac:dyDescent="0.4">
      <c r="A33" s="719" t="str">
        <f>Traduzioni!G441</f>
        <v>Il cliente ha diritto a una rendita di vedovanza LPP se il partner decede?</v>
      </c>
      <c r="B33" s="725">
        <f>IF(ANALYSIS!B$46='Sigle per Analisi'!B$22,'calcoli Cliente'!B83,0)</f>
        <v>0</v>
      </c>
      <c r="C33" s="714" t="str">
        <f>Traduzioni!G455</f>
        <v xml:space="preserve">Si=1 /  No=0 </v>
      </c>
      <c r="D33" s="715"/>
    </row>
    <row r="34" spans="1:256" ht="27" thickBot="1" x14ac:dyDescent="0.4">
      <c r="A34" s="726" t="str">
        <f>Traduzioni!G442</f>
        <v>Il cliente ha diritto a una rendita di vedovanza LAINF se il partner decede?</v>
      </c>
      <c r="B34" s="725">
        <f>IF(ANALYSIS!B$46='Sigle per Analisi'!B$22,'calcoli Cliente'!B84,0)</f>
        <v>0</v>
      </c>
      <c r="C34" s="714" t="str">
        <f>Traduzioni!G456</f>
        <v xml:space="preserve">Si=1 /  No=0 </v>
      </c>
      <c r="D34" s="715"/>
    </row>
    <row r="35" spans="1:256" ht="16" thickBot="1" x14ac:dyDescent="0.4">
      <c r="A35" s="727"/>
      <c r="B35" s="715"/>
      <c r="C35" s="715"/>
      <c r="D35" s="715"/>
    </row>
    <row r="36" spans="1:256" ht="21" x14ac:dyDescent="0.5">
      <c r="A36" s="1240" t="str">
        <f>Traduzioni!G457</f>
        <v>Dati preimpostati per calcolo 3a cliente</v>
      </c>
      <c r="B36" s="1241"/>
      <c r="C36" s="1242"/>
      <c r="D36" s="1242"/>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c r="AL36" s="1218"/>
      <c r="AM36" s="1218"/>
      <c r="AN36" s="1218"/>
      <c r="AO36" s="1218"/>
      <c r="AP36" s="1218"/>
      <c r="AQ36" s="1218"/>
      <c r="AR36" s="1218"/>
      <c r="AS36" s="1218"/>
      <c r="AT36" s="1218"/>
      <c r="AU36" s="1218"/>
      <c r="AV36" s="1218"/>
      <c r="AW36" s="1218"/>
      <c r="AX36" s="1218"/>
      <c r="AY36" s="1218"/>
      <c r="AZ36" s="1218"/>
      <c r="BA36" s="1218"/>
      <c r="BB36" s="1218"/>
      <c r="BC36" s="1218"/>
      <c r="BD36" s="1218"/>
      <c r="BE36" s="1218"/>
      <c r="BF36" s="1218"/>
      <c r="BG36" s="1218"/>
      <c r="BH36" s="1218"/>
      <c r="BI36" s="1218"/>
      <c r="BJ36" s="1218"/>
      <c r="BK36" s="1218"/>
      <c r="BL36" s="1218"/>
      <c r="BM36" s="1218"/>
      <c r="BN36" s="1218"/>
      <c r="BO36" s="1218"/>
      <c r="BP36" s="1218"/>
      <c r="BQ36" s="1218"/>
      <c r="BR36" s="1218"/>
      <c r="BS36" s="1218"/>
      <c r="BT36" s="1218"/>
      <c r="BU36" s="1218"/>
      <c r="BV36" s="1218"/>
      <c r="BW36" s="1218"/>
      <c r="BX36" s="1218"/>
      <c r="BY36" s="1218"/>
      <c r="BZ36" s="1218"/>
      <c r="CA36" s="1218"/>
      <c r="CB36" s="1218"/>
      <c r="CC36" s="1218"/>
      <c r="CD36" s="1218"/>
      <c r="CE36" s="1218"/>
      <c r="CF36" s="1218"/>
      <c r="CG36" s="1218"/>
      <c r="CH36" s="1218"/>
      <c r="CI36" s="1218"/>
      <c r="CJ36" s="1218"/>
      <c r="CK36" s="1218"/>
      <c r="CL36" s="1218"/>
      <c r="CM36" s="1218"/>
      <c r="CN36" s="1218"/>
      <c r="CO36" s="1218"/>
      <c r="CP36" s="1218"/>
      <c r="CQ36" s="1218"/>
      <c r="CR36" s="1218"/>
      <c r="CS36" s="1218"/>
      <c r="CT36" s="1218"/>
      <c r="CU36" s="1218"/>
      <c r="CV36" s="1218"/>
      <c r="CW36" s="1218"/>
      <c r="CX36" s="1218"/>
      <c r="CY36" s="1218"/>
      <c r="CZ36" s="1218"/>
      <c r="DA36" s="1218"/>
      <c r="DB36" s="1218"/>
      <c r="DC36" s="1218"/>
      <c r="DD36" s="1218"/>
      <c r="DE36" s="1218"/>
      <c r="DF36" s="1218"/>
      <c r="DG36" s="1218"/>
      <c r="DH36" s="1218"/>
      <c r="DI36" s="1218"/>
      <c r="DJ36" s="1218"/>
      <c r="DK36" s="1218"/>
      <c r="DL36" s="1218"/>
      <c r="DM36" s="1218"/>
      <c r="DN36" s="1218"/>
      <c r="DO36" s="1218"/>
      <c r="DP36" s="1218"/>
      <c r="DQ36" s="1218"/>
      <c r="DR36" s="1218"/>
      <c r="DS36" s="1218"/>
      <c r="DT36" s="1218"/>
      <c r="DU36" s="1218"/>
      <c r="DV36" s="1218"/>
      <c r="DW36" s="1218"/>
      <c r="DX36" s="1218"/>
      <c r="DY36" s="1218"/>
      <c r="DZ36" s="1218"/>
      <c r="EA36" s="1218"/>
      <c r="EB36" s="1218"/>
      <c r="EC36" s="1218"/>
      <c r="ED36" s="1218"/>
      <c r="EE36" s="1218"/>
      <c r="EF36" s="1218"/>
      <c r="EG36" s="1218"/>
      <c r="EH36" s="1218"/>
      <c r="EI36" s="1218"/>
      <c r="EJ36" s="1218"/>
      <c r="EK36" s="1218"/>
      <c r="EL36" s="1218"/>
      <c r="EM36" s="1218"/>
      <c r="EN36" s="1218"/>
      <c r="EO36" s="1218"/>
      <c r="EP36" s="1218"/>
      <c r="EQ36" s="1218"/>
      <c r="ER36" s="1218"/>
      <c r="ES36" s="1218"/>
      <c r="ET36" s="1218"/>
      <c r="EU36" s="1218"/>
      <c r="EV36" s="1218"/>
      <c r="EW36" s="1218"/>
      <c r="EX36" s="1218"/>
      <c r="EY36" s="1218"/>
      <c r="EZ36" s="1218"/>
      <c r="FA36" s="1218"/>
      <c r="FB36" s="1218"/>
      <c r="FC36" s="1218"/>
      <c r="FD36" s="1218"/>
      <c r="FE36" s="1218"/>
      <c r="FF36" s="1218"/>
      <c r="FG36" s="1218"/>
      <c r="FH36" s="1218"/>
      <c r="FI36" s="1218"/>
      <c r="FJ36" s="1218"/>
      <c r="FK36" s="1218"/>
      <c r="FL36" s="1218"/>
      <c r="FM36" s="1218"/>
      <c r="FN36" s="1218"/>
      <c r="FO36" s="1218"/>
      <c r="FP36" s="1218"/>
      <c r="FQ36" s="1218"/>
      <c r="FR36" s="1218"/>
      <c r="FS36" s="1218"/>
      <c r="FT36" s="1218"/>
      <c r="FU36" s="1218"/>
      <c r="FV36" s="1218"/>
      <c r="FW36" s="1218"/>
      <c r="FX36" s="1218"/>
      <c r="FY36" s="1218"/>
      <c r="FZ36" s="1218"/>
      <c r="GA36" s="1218"/>
      <c r="GB36" s="1218"/>
      <c r="GC36" s="1218"/>
      <c r="GD36" s="1218"/>
      <c r="GE36" s="1218"/>
      <c r="GF36" s="1218"/>
      <c r="GG36" s="1218"/>
      <c r="GH36" s="1218"/>
      <c r="GI36" s="1218"/>
      <c r="GJ36" s="1218"/>
      <c r="GK36" s="1218"/>
      <c r="GL36" s="1218"/>
      <c r="GM36" s="1218"/>
      <c r="GN36" s="1218"/>
      <c r="GO36" s="1218"/>
      <c r="GP36" s="1218"/>
      <c r="GQ36" s="1218"/>
      <c r="GR36" s="1218"/>
      <c r="GS36" s="1218"/>
      <c r="GT36" s="1218"/>
      <c r="GU36" s="1218"/>
      <c r="GV36" s="1218"/>
      <c r="GW36" s="1218"/>
      <c r="GX36" s="1218"/>
      <c r="GY36" s="1218"/>
      <c r="GZ36" s="1218"/>
      <c r="HA36" s="1218"/>
      <c r="HB36" s="1218"/>
      <c r="HC36" s="1218"/>
      <c r="HD36" s="1218"/>
      <c r="HE36" s="1218"/>
      <c r="HF36" s="1218"/>
      <c r="HG36" s="1218"/>
      <c r="HH36" s="1218"/>
      <c r="HI36" s="1218"/>
      <c r="HJ36" s="1218"/>
      <c r="HK36" s="1218"/>
      <c r="HL36" s="1218"/>
      <c r="HM36" s="1218"/>
      <c r="HN36" s="1218"/>
      <c r="HO36" s="1218"/>
      <c r="HP36" s="1218"/>
      <c r="HQ36" s="1218"/>
      <c r="HR36" s="1218"/>
      <c r="HS36" s="1218"/>
      <c r="HT36" s="1218"/>
      <c r="HU36" s="1218"/>
      <c r="HV36" s="1218"/>
      <c r="HW36" s="1218"/>
      <c r="HX36" s="1218"/>
      <c r="HY36" s="1218"/>
      <c r="HZ36" s="1218"/>
      <c r="IA36" s="1218"/>
      <c r="IB36" s="1218"/>
      <c r="IC36" s="1218"/>
      <c r="ID36" s="1218"/>
      <c r="IE36" s="1218"/>
      <c r="IF36" s="1218"/>
      <c r="IG36" s="1218"/>
      <c r="IH36" s="1218"/>
      <c r="II36" s="1218"/>
      <c r="IJ36" s="1218"/>
      <c r="IK36" s="1218"/>
      <c r="IL36" s="1218"/>
      <c r="IM36" s="1218"/>
      <c r="IN36" s="1218"/>
      <c r="IO36" s="1218"/>
      <c r="IP36" s="1218"/>
      <c r="IQ36" s="1218"/>
      <c r="IR36" s="1218"/>
      <c r="IS36" s="1218"/>
      <c r="IT36" s="1218"/>
      <c r="IU36" s="1218"/>
      <c r="IV36" s="1218"/>
    </row>
    <row r="37" spans="1:256" ht="32.25" customHeight="1" x14ac:dyDescent="0.35">
      <c r="A37" s="1221" t="str">
        <f>Traduzioni!G324</f>
        <v>Composizione di un piano previdenziale ideale, con vantaggi fiscali (terzo pilastro):</v>
      </c>
      <c r="B37" s="1222"/>
      <c r="C37" s="728"/>
      <c r="D37" s="728"/>
    </row>
    <row r="38" spans="1:256" x14ac:dyDescent="0.35">
      <c r="A38" s="716" t="str">
        <f>Traduzioni!G334</f>
        <v>Premio annuo</v>
      </c>
      <c r="B38" s="777">
        <f>ANALYSIS!B83*12</f>
        <v>0</v>
      </c>
      <c r="C38" s="714" t="str">
        <f>Traduzioni!G458</f>
        <v>importo annuo</v>
      </c>
      <c r="D38" s="728"/>
      <c r="F38"/>
    </row>
    <row r="39" spans="1:256" x14ac:dyDescent="0.35">
      <c r="A39" s="716" t="str">
        <f>Traduzioni!G335</f>
        <v>Durata piano previdenziale</v>
      </c>
      <c r="B39" s="778">
        <f ca="1">65-B11</f>
        <v>-60</v>
      </c>
      <c r="C39" s="714" t="str">
        <f>Traduzioni!G459</f>
        <v>Anni</v>
      </c>
      <c r="D39" s="728"/>
    </row>
    <row r="40" spans="1:256" x14ac:dyDescent="0.35">
      <c r="A40" s="716" t="str">
        <f>Traduzioni!G336</f>
        <v>Autofinanziamento in caso di incapacità lav.</v>
      </c>
      <c r="B40" s="778">
        <v>1</v>
      </c>
      <c r="C40" s="714" t="str">
        <f>Traduzioni!G460</f>
        <v xml:space="preserve">Si=1 /  No=0 </v>
      </c>
      <c r="D40" s="728"/>
    </row>
    <row r="41" spans="1:256" x14ac:dyDescent="0.35">
      <c r="A41" s="731" t="str">
        <f>Traduzioni!G337</f>
        <v>Rendita annua in caso di incapacità lavorativa:</v>
      </c>
      <c r="B41" s="730">
        <v>0</v>
      </c>
      <c r="C41" s="714" t="str">
        <f>Traduzioni!G461</f>
        <v>importo annuo</v>
      </c>
      <c r="D41" s="728"/>
    </row>
    <row r="42" spans="1:256" x14ac:dyDescent="0.35">
      <c r="A42" s="716" t="str">
        <f>Traduzioni!G338</f>
        <v>Capitale 3a alla pensione:</v>
      </c>
      <c r="B42" s="779">
        <f ca="1">IF(B39&gt;30,B38*B39*2,IF(B39&gt;20,B38*B39*1.5,B38*B39*1.2))</f>
        <v>0</v>
      </c>
      <c r="C42" s="714" t="str">
        <f>Traduzioni!G462</f>
        <v>Capitale</v>
      </c>
      <c r="D42" s="728"/>
    </row>
    <row r="43" spans="1:256" x14ac:dyDescent="0.35">
      <c r="A43" s="716" t="str">
        <f>Traduzioni!G339</f>
        <v>Capitale assicurato in caso di decesso:</v>
      </c>
      <c r="B43" s="779">
        <f ca="1">B39*B38</f>
        <v>0</v>
      </c>
      <c r="C43" s="714" t="str">
        <f>Traduzioni!G463</f>
        <v>Capitale</v>
      </c>
      <c r="D43" s="728"/>
    </row>
    <row r="44" spans="1:256" x14ac:dyDescent="0.35">
      <c r="A44" s="716" t="str">
        <f>Traduzioni!G340</f>
        <v>Imposte annue senza deduzione 3. pilastro</v>
      </c>
      <c r="B44" s="780">
        <f>ANALYSIS!B88</f>
        <v>0</v>
      </c>
      <c r="C44" s="714" t="str">
        <f>C41</f>
        <v>importo annuo</v>
      </c>
      <c r="D44" s="728"/>
    </row>
    <row r="45" spans="1:256" ht="16" thickBot="1" x14ac:dyDescent="0.4">
      <c r="A45" s="729" t="str">
        <f>Traduzioni!G341</f>
        <v>Imposte annue con deduzione 3. pilastro</v>
      </c>
      <c r="B45" s="781">
        <f>IF(ANALYSIS!B68&lt;&gt;0,ANALYSIS!B68,IF(B44=0,B38*20%*-1,B44*80%))</f>
        <v>0</v>
      </c>
      <c r="C45" s="714" t="str">
        <f>C41</f>
        <v>importo annuo</v>
      </c>
      <c r="D45" s="728"/>
    </row>
    <row r="46" spans="1:256" hidden="1" x14ac:dyDescent="0.35">
      <c r="A46" s="325"/>
      <c r="B46" s="326"/>
      <c r="C46" s="279"/>
      <c r="D46" s="279"/>
    </row>
    <row r="47" spans="1:256" ht="19.5" hidden="1" x14ac:dyDescent="0.45">
      <c r="A47" s="327" t="s">
        <v>2539</v>
      </c>
      <c r="B47" s="328"/>
      <c r="C47" s="324" t="s">
        <v>55</v>
      </c>
      <c r="D47" s="279"/>
    </row>
    <row r="48" spans="1:256" hidden="1" x14ac:dyDescent="0.35">
      <c r="A48" s="329" t="s">
        <v>62</v>
      </c>
      <c r="B48" s="330"/>
      <c r="C48" s="324" t="s">
        <v>44</v>
      </c>
      <c r="D48" s="279"/>
    </row>
    <row r="49" spans="1:4" hidden="1" x14ac:dyDescent="0.35">
      <c r="A49" s="329" t="s">
        <v>63</v>
      </c>
      <c r="B49" s="330"/>
      <c r="C49" s="324" t="s">
        <v>44</v>
      </c>
      <c r="D49" s="279"/>
    </row>
    <row r="50" spans="1:4" hidden="1" x14ac:dyDescent="0.35">
      <c r="A50" s="329" t="s">
        <v>64</v>
      </c>
      <c r="B50" s="330"/>
      <c r="C50" s="324" t="s">
        <v>44</v>
      </c>
      <c r="D50" s="279"/>
    </row>
    <row r="51" spans="1:4" hidden="1" x14ac:dyDescent="0.35">
      <c r="A51" s="329" t="s">
        <v>65</v>
      </c>
      <c r="B51" s="330"/>
      <c r="C51" s="324" t="s">
        <v>44</v>
      </c>
      <c r="D51" s="279"/>
    </row>
    <row r="52" spans="1:4" hidden="1" x14ac:dyDescent="0.35">
      <c r="A52" s="329" t="s">
        <v>66</v>
      </c>
      <c r="B52" s="331"/>
      <c r="C52" s="324" t="s">
        <v>67</v>
      </c>
      <c r="D52" s="279"/>
    </row>
    <row r="53" spans="1:4" hidden="1" x14ac:dyDescent="0.35">
      <c r="A53" s="325"/>
      <c r="B53" s="326"/>
      <c r="C53" s="279"/>
      <c r="D53" s="279"/>
    </row>
    <row r="54" spans="1:4" ht="19.5" hidden="1" x14ac:dyDescent="0.45">
      <c r="A54" s="327" t="s">
        <v>2540</v>
      </c>
      <c r="B54" s="328"/>
      <c r="C54" s="324" t="s">
        <v>55</v>
      </c>
      <c r="D54" s="279"/>
    </row>
    <row r="55" spans="1:4" hidden="1" x14ac:dyDescent="0.35">
      <c r="A55" s="329" t="s">
        <v>68</v>
      </c>
      <c r="B55" s="330"/>
      <c r="C55" s="324" t="s">
        <v>44</v>
      </c>
      <c r="D55" s="279"/>
    </row>
    <row r="56" spans="1:4" hidden="1" x14ac:dyDescent="0.35">
      <c r="A56" s="332" t="s">
        <v>69</v>
      </c>
      <c r="B56" s="333"/>
      <c r="C56" s="324" t="s">
        <v>44</v>
      </c>
      <c r="D56" s="279"/>
    </row>
    <row r="57" spans="1:4" ht="59" customHeight="1" thickBot="1" x14ac:dyDescent="0.4">
      <c r="A57" s="334"/>
      <c r="B57" s="279"/>
      <c r="C57" s="279"/>
      <c r="D57" s="279"/>
    </row>
    <row r="58" spans="1:4" ht="20.5" thickBot="1" x14ac:dyDescent="0.45">
      <c r="A58" s="1219" t="str">
        <f>Traduzioni!G476</f>
        <v>Dati preimpostati per calcolo previdenziale partner</v>
      </c>
      <c r="B58" s="1220"/>
      <c r="C58" s="279"/>
      <c r="D58" s="279"/>
    </row>
    <row r="59" spans="1:4" ht="15.75" hidden="1" customHeight="1" x14ac:dyDescent="0.35">
      <c r="A59" s="335" t="s">
        <v>31</v>
      </c>
      <c r="B59" s="1235" t="e">
        <f>'calcoli Cliente'!#REF!</f>
        <v>#REF!</v>
      </c>
      <c r="C59" s="1236"/>
      <c r="D59" s="279"/>
    </row>
    <row r="60" spans="1:4" ht="16" hidden="1" customHeight="1" x14ac:dyDescent="0.35">
      <c r="A60" s="336" t="s">
        <v>32</v>
      </c>
      <c r="B60" s="1237" t="s">
        <v>70</v>
      </c>
      <c r="C60" s="1237"/>
      <c r="D60" s="279"/>
    </row>
    <row r="61" spans="1:4" ht="16" hidden="1" customHeight="1" x14ac:dyDescent="0.35">
      <c r="A61" s="336" t="s">
        <v>33</v>
      </c>
      <c r="B61" s="1238" t="str">
        <f>'PRIV-VALID.'!B6</f>
        <v>NeoLife AG</v>
      </c>
      <c r="C61" s="1238"/>
      <c r="D61" s="279"/>
    </row>
    <row r="62" spans="1:4" ht="16" hidden="1" customHeight="1" x14ac:dyDescent="0.35">
      <c r="A62" s="336" t="s">
        <v>2</v>
      </c>
      <c r="B62" s="1239">
        <f ca="1">NOW()</f>
        <v>45680.292758449075</v>
      </c>
      <c r="C62" s="1239"/>
      <c r="D62" s="279"/>
    </row>
    <row r="63" spans="1:4" hidden="1" x14ac:dyDescent="0.35">
      <c r="A63" s="279"/>
      <c r="B63" s="279"/>
      <c r="C63" s="279"/>
      <c r="D63" s="279"/>
    </row>
    <row r="64" spans="1:4" ht="16" hidden="1" customHeight="1" thickBot="1" x14ac:dyDescent="0.4">
      <c r="A64" s="279"/>
      <c r="B64" s="337" t="s">
        <v>34</v>
      </c>
      <c r="C64" s="279"/>
      <c r="D64" s="279"/>
    </row>
    <row r="65" spans="1:4" ht="16" thickBot="1" x14ac:dyDescent="0.4">
      <c r="A65" s="732" t="str">
        <f>Traduzioni!G418</f>
        <v>Calcolo previdenziale per:</v>
      </c>
      <c r="B65" s="733">
        <f>ANALYSIS!C19</f>
        <v>0</v>
      </c>
      <c r="C65" s="734" t="s">
        <v>36</v>
      </c>
      <c r="D65" s="735"/>
    </row>
    <row r="66" spans="1:4" ht="16" customHeight="1" thickBot="1" x14ac:dyDescent="0.4">
      <c r="A66" s="736" t="str">
        <f>Traduzioni!G419</f>
        <v>Età</v>
      </c>
      <c r="B66" s="737">
        <f>'Parametri generali'!C7</f>
        <v>0</v>
      </c>
      <c r="C66" s="734"/>
      <c r="D66" s="735"/>
    </row>
    <row r="67" spans="1:4" ht="31.5" thickBot="1" x14ac:dyDescent="0.4">
      <c r="A67" s="736" t="str">
        <f>Traduzioni!G420</f>
        <v>N. Figli minorenni o agli studi:</v>
      </c>
      <c r="B67" s="737">
        <f>ANALYSIS!C28</f>
        <v>0</v>
      </c>
      <c r="C67" s="734" t="s">
        <v>40</v>
      </c>
      <c r="D67" s="735"/>
    </row>
    <row r="68" spans="1:4" ht="16" thickBot="1" x14ac:dyDescent="0.4">
      <c r="A68" s="736" t="str">
        <f>Traduzioni!G421</f>
        <v>Sesso (Uomo =1 / Donna = 0)</v>
      </c>
      <c r="B68" s="737">
        <f>ANALYSIS!C22</f>
        <v>0</v>
      </c>
      <c r="C68" s="734" t="s">
        <v>42</v>
      </c>
      <c r="D68" s="735"/>
    </row>
    <row r="69" spans="1:4" ht="16" thickBot="1" x14ac:dyDescent="0.4">
      <c r="A69" s="736" t="str">
        <f>Traduzioni!G422</f>
        <v>Salario Attuale lordo annuo</v>
      </c>
      <c r="B69" s="738">
        <f>ANALYSIS!C38*ANALYSIS!C40</f>
        <v>0</v>
      </c>
      <c r="C69" s="734" t="s">
        <v>44</v>
      </c>
      <c r="D69" s="735"/>
    </row>
    <row r="70" spans="1:4" ht="16" thickBot="1" x14ac:dyDescent="0.4">
      <c r="A70" s="739" t="str">
        <f>Traduzioni!G423</f>
        <v>Fabbisogno annuo (Pensione/invalid.)</v>
      </c>
      <c r="B70" s="740">
        <f>IF(ANALYSIS!C43=0,ANALYSIS!C38*ANALYSIS!C40,ANALYSIS!C43*12)</f>
        <v>0</v>
      </c>
      <c r="C70" s="734"/>
      <c r="D70" s="735"/>
    </row>
    <row r="71" spans="1:4" ht="16" thickBot="1" x14ac:dyDescent="0.4">
      <c r="A71" s="739" t="str">
        <f>Traduzioni!G424</f>
        <v>Fabbisogno annuo in caso di vedovanza</v>
      </c>
      <c r="B71" s="740">
        <f>IF(ANALYSIS!C42=0,ANALYSIS!B38*ANALYSIS!B40,ANALYSIS!C42*12)</f>
        <v>0</v>
      </c>
      <c r="C71" s="734"/>
      <c r="D71" s="735"/>
    </row>
    <row r="72" spans="1:4" ht="31.5" thickBot="1" x14ac:dyDescent="0.4">
      <c r="A72" s="736" t="str">
        <f>Traduzioni!G425</f>
        <v>Impegni da liquidare entro il pens.</v>
      </c>
      <c r="B72" s="741">
        <f>ANALYSIS!C44</f>
        <v>0</v>
      </c>
      <c r="C72" s="734"/>
      <c r="D72" s="735"/>
    </row>
    <row r="73" spans="1:4" ht="16" thickBot="1" x14ac:dyDescent="0.4">
      <c r="A73" s="736" t="str">
        <f>Traduzioni!G426</f>
        <v>Costi annui per leasing, crediti privati</v>
      </c>
      <c r="B73" s="741">
        <f>ANALYSIS!C97*12</f>
        <v>0</v>
      </c>
      <c r="C73" s="734"/>
      <c r="D73" s="735"/>
    </row>
    <row r="74" spans="1:4" ht="16" thickBot="1" x14ac:dyDescent="0.4">
      <c r="A74" s="736" t="str">
        <f>Traduzioni!G427</f>
        <v>Capitale disponibile x acquisto abitazione</v>
      </c>
      <c r="B74" s="741">
        <f>ANALYSIS!C93</f>
        <v>0</v>
      </c>
      <c r="C74" s="734"/>
      <c r="D74" s="735"/>
    </row>
    <row r="75" spans="1:4" ht="16" thickBot="1" x14ac:dyDescent="0.4">
      <c r="A75" s="736" t="str">
        <f>Traduzioni!G428</f>
        <v>Risparmio attuale annuo</v>
      </c>
      <c r="B75" s="741">
        <f>ANALYSIS!C77</f>
        <v>0</v>
      </c>
      <c r="C75" s="734"/>
      <c r="D75" s="735"/>
    </row>
    <row r="76" spans="1:4" ht="16" thickBot="1" x14ac:dyDescent="0.4">
      <c r="A76" s="736" t="str">
        <f>Traduzioni!G429</f>
        <v>Rsiparmio annuo per obiettivo abitazione</v>
      </c>
      <c r="B76" s="741">
        <f>ANALYSIS!C78*12</f>
        <v>0</v>
      </c>
      <c r="C76" s="734"/>
      <c r="D76" s="735"/>
    </row>
    <row r="77" spans="1:4" ht="16" thickBot="1" x14ac:dyDescent="0.4">
      <c r="A77" s="736" t="str">
        <f>Traduzioni!G430</f>
        <v>Protezione salario malattia (%)</v>
      </c>
      <c r="B77" s="742">
        <f>IF(ANALYSIS!C52=1,80%,ANALYSIS!C54)</f>
        <v>0</v>
      </c>
      <c r="C77" s="734" t="s">
        <v>49</v>
      </c>
      <c r="D77" s="735"/>
    </row>
    <row r="78" spans="1:4" ht="16" thickBot="1" x14ac:dyDescent="0.4">
      <c r="A78" s="736" t="str">
        <f>Traduzioni!G431</f>
        <v>Indennità giornaliera Lainf (%)</v>
      </c>
      <c r="B78" s="743">
        <f>IF(ANALYSIS!C46='Sigle per Analisi'!B22,80%,IF(ANALYSIS!C46='Sigle per Analisi'!B23,ANALYSIS!C53,IF(ANALYSIS!C46='Sigle per Analisi'!B24,80%,0)))</f>
        <v>0</v>
      </c>
      <c r="C78" s="734" t="s">
        <v>49</v>
      </c>
      <c r="D78" s="735"/>
    </row>
    <row r="79" spans="1:4" ht="16" thickBot="1" x14ac:dyDescent="0.4">
      <c r="A79" s="736" t="str">
        <f>Traduzioni!G432</f>
        <v>Invalidità Lainf (%)</v>
      </c>
      <c r="B79" s="743">
        <f>IF(ANALYSIS!C46='Sigle per Analisi'!B22,90%,IF(ANALYSIS!C46='Sigle per Analisi'!B23,B80*13/B69,IF(ANALYSIS!C46='Sigle per Analisi'!B24,90%,0)))</f>
        <v>0</v>
      </c>
      <c r="C79" s="734" t="s">
        <v>49</v>
      </c>
      <c r="D79" s="735"/>
    </row>
    <row r="80" spans="1:4" ht="16" thickBot="1" x14ac:dyDescent="0.4">
      <c r="A80" s="736" t="str">
        <f>Traduzioni!G433</f>
        <v>Rendita AVS/AI ante splitting (mensile a scala 44)</v>
      </c>
      <c r="B80" s="744">
        <f>IF(ANALYSIS!C63=0,C80,ANALYSIS!C63)</f>
        <v>0</v>
      </c>
      <c r="C80" s="745">
        <f>'scala44 partner'!C63/44*B82</f>
        <v>0</v>
      </c>
      <c r="D80" s="735"/>
    </row>
    <row r="81" spans="1:4" ht="47" thickBot="1" x14ac:dyDescent="0.4">
      <c r="A81" s="736" t="str">
        <f>Traduzioni!G434</f>
        <v>Rendita AVS/AI post splitting (ridotta per coniugati. 150% max e senza rendita figli) (mensile a scala 44)</v>
      </c>
      <c r="B81" s="744">
        <f>IF(ANALYSIS!C64=0,C81,ANALYSIS!C64)</f>
        <v>0</v>
      </c>
      <c r="C81" s="745">
        <f>scala44!C76/44*B82</f>
        <v>0</v>
      </c>
      <c r="D81" s="735"/>
    </row>
    <row r="82" spans="1:4" ht="16" thickBot="1" x14ac:dyDescent="0.4">
      <c r="A82" s="736" t="str">
        <f>Traduzioni!G435</f>
        <v>Scala applicabile: (44?)</v>
      </c>
      <c r="B82" s="737">
        <f>'Parametri generali'!C11</f>
        <v>0</v>
      </c>
      <c r="C82" s="734" t="s">
        <v>52</v>
      </c>
      <c r="D82" s="735"/>
    </row>
    <row r="83" spans="1:4" ht="16" thickBot="1" x14ac:dyDescent="0.4">
      <c r="A83" s="736" t="str">
        <f>Traduzioni!G436</f>
        <v>Rendita LPP invalidità annua</v>
      </c>
      <c r="B83" s="738">
        <f>IF(ANALYSIS!C66=0,IF(ANALYSIS!C46='Sigle per Analisi'!B22,C83,IF(ANALYSIS!C46='Sigle per Analisi'!B24,C83,ANALYSIS!C66)))</f>
        <v>0</v>
      </c>
      <c r="C83" s="745">
        <f>'Calcolo LPP partner'!E59</f>
        <v>0</v>
      </c>
      <c r="D83" s="735"/>
    </row>
    <row r="84" spans="1:4" ht="16" thickBot="1" x14ac:dyDescent="0.4">
      <c r="A84" s="736" t="str">
        <f>Traduzioni!G437</f>
        <v>Rendita LPP per Pensione annua</v>
      </c>
      <c r="B84" s="746">
        <f>IF(ANALYSIS!C$67&gt;1,ANALYSIS!C$67,IF(ANALYSIS!C$46='Sigle per Analisi'!B22,IF(B82&gt;35,C84,'Calcolo simulazione LPP Partner'!E67),0))</f>
        <v>0</v>
      </c>
      <c r="C84" s="745">
        <f>C83</f>
        <v>0</v>
      </c>
      <c r="D84" s="735"/>
    </row>
    <row r="85" spans="1:4" ht="16" thickBot="1" x14ac:dyDescent="0.4">
      <c r="A85" s="736" t="str">
        <f>Traduzioni!G438</f>
        <v>Capitale attuale su LPP per Abitazione</v>
      </c>
      <c r="B85" s="738">
        <f>IF(ANALYSIS!C46&lt;&gt;'Sigle per Analisi'!B22,0,IF(ANALYSIS!C94&gt;1,ANALYSIS!C94,'Calcolo simulazione LPP Partner'!E62))</f>
        <v>0</v>
      </c>
      <c r="C85" s="745"/>
      <c r="D85" s="735"/>
    </row>
    <row r="86" spans="1:4" ht="16" thickBot="1" x14ac:dyDescent="0.4">
      <c r="A86" s="736" t="str">
        <f>Traduzioni!G439</f>
        <v>Contributo annuo LPP totale</v>
      </c>
      <c r="B86" s="738">
        <f>IF(ANALYSIS!C46&lt;&gt;'Sigle per Analisi'!B22,0,IF(ANALYSIS!C65=0,'Calcolo simulazione LPP Partner'!E66, ANALYSIS!C65*2*12))</f>
        <v>0</v>
      </c>
      <c r="C86" s="745"/>
      <c r="D86" s="735"/>
    </row>
    <row r="87" spans="1:4" ht="31.5" thickBot="1" x14ac:dyDescent="0.4">
      <c r="A87" s="739" t="str">
        <f>Traduzioni!G440</f>
        <v>Il cliente ha diritto a una rendita di vedovanza AVS se il partner decede?</v>
      </c>
      <c r="B87" s="747">
        <f>'Calcoli Partner'!B73</f>
        <v>0</v>
      </c>
      <c r="C87" s="734" t="s">
        <v>42</v>
      </c>
      <c r="D87" s="735"/>
    </row>
    <row r="88" spans="1:4" ht="47" thickBot="1" x14ac:dyDescent="0.4">
      <c r="A88" s="739" t="str">
        <f>Traduzioni!G441</f>
        <v>Il cliente ha diritto a una rendita di vedovanza LPP se il partner decede?</v>
      </c>
      <c r="B88" s="747">
        <f>IF(ANALYSIS!B$46='Sigle per Analisi'!B$22,'Calcoli Partner'!B74,0)</f>
        <v>0</v>
      </c>
      <c r="C88" s="734" t="s">
        <v>42</v>
      </c>
      <c r="D88" s="735"/>
    </row>
    <row r="89" spans="1:4" ht="47" thickBot="1" x14ac:dyDescent="0.4">
      <c r="A89" s="739" t="str">
        <f>Traduzioni!G442</f>
        <v>Il cliente ha diritto a una rendita di vedovanza LAINF se il partner decede?</v>
      </c>
      <c r="B89" s="747">
        <f>IF(ANALYSIS!B$46='Sigle per Analisi'!B$22,'Calcoli Partner'!B75,0)</f>
        <v>0</v>
      </c>
      <c r="C89" s="734" t="s">
        <v>42</v>
      </c>
      <c r="D89" s="735"/>
    </row>
    <row r="90" spans="1:4" ht="27.5" customHeight="1" thickBot="1" x14ac:dyDescent="0.4">
      <c r="A90" s="748"/>
      <c r="B90" s="735"/>
      <c r="C90" s="735"/>
      <c r="D90" s="735"/>
    </row>
    <row r="91" spans="1:4" ht="20.5" thickBot="1" x14ac:dyDescent="0.45">
      <c r="A91" s="1219" t="str">
        <f>Traduzioni!G476</f>
        <v>Dati preimpostati per calcolo previdenziale partner</v>
      </c>
      <c r="B91" s="1220"/>
      <c r="C91" s="735"/>
      <c r="D91" s="735"/>
    </row>
    <row r="92" spans="1:4" ht="29.25" customHeight="1" x14ac:dyDescent="0.35">
      <c r="A92" s="1233" t="str">
        <f>A37</f>
        <v>Composizione di un piano previdenziale ideale, con vantaggi fiscali (terzo pilastro):</v>
      </c>
      <c r="B92" s="1234"/>
      <c r="C92" s="749"/>
      <c r="D92" s="735"/>
    </row>
    <row r="93" spans="1:4" x14ac:dyDescent="0.35">
      <c r="A93" s="750" t="str">
        <f>A38</f>
        <v>Premio annuo</v>
      </c>
      <c r="B93" s="751">
        <f>ANALYSIS!C83*12</f>
        <v>0</v>
      </c>
      <c r="C93" s="752" t="str">
        <f>Traduzioni!G458</f>
        <v>importo annuo</v>
      </c>
      <c r="D93" s="735"/>
    </row>
    <row r="94" spans="1:4" x14ac:dyDescent="0.35">
      <c r="A94" s="750" t="str">
        <f t="shared" ref="A94:A100" si="0">A39</f>
        <v>Durata piano previdenziale</v>
      </c>
      <c r="B94" s="753">
        <f>65-B66</f>
        <v>65</v>
      </c>
      <c r="C94" s="752" t="str">
        <f>Traduzioni!G459</f>
        <v>Anni</v>
      </c>
      <c r="D94" s="735"/>
    </row>
    <row r="95" spans="1:4" x14ac:dyDescent="0.35">
      <c r="A95" s="750" t="str">
        <f t="shared" si="0"/>
        <v>Autofinanziamento in caso di incapacità lav.</v>
      </c>
      <c r="B95" s="753">
        <v>1</v>
      </c>
      <c r="C95" s="752" t="str">
        <f>Traduzioni!G460</f>
        <v xml:space="preserve">Si=1 /  No=0 </v>
      </c>
      <c r="D95" s="735"/>
    </row>
    <row r="96" spans="1:4" x14ac:dyDescent="0.35">
      <c r="A96" s="756" t="str">
        <f t="shared" si="0"/>
        <v>Rendita annua in caso di incapacità lavorativa:</v>
      </c>
      <c r="B96" s="757">
        <v>0</v>
      </c>
      <c r="C96" s="752" t="str">
        <f>Traduzioni!G461</f>
        <v>importo annuo</v>
      </c>
      <c r="D96" s="735"/>
    </row>
    <row r="97" spans="1:4" x14ac:dyDescent="0.35">
      <c r="A97" s="750" t="str">
        <f t="shared" si="0"/>
        <v>Capitale 3a alla pensione:</v>
      </c>
      <c r="B97" s="754">
        <f>IF(B94&gt;30,B93*B94*2,IF(B94&gt;20,B93*B94*1.5,B93*B94*1.2))</f>
        <v>0</v>
      </c>
      <c r="C97" s="752" t="str">
        <f>Traduzioni!G462</f>
        <v>Capitale</v>
      </c>
      <c r="D97" s="735"/>
    </row>
    <row r="98" spans="1:4" x14ac:dyDescent="0.35">
      <c r="A98" s="750" t="str">
        <f t="shared" si="0"/>
        <v>Capitale assicurato in caso di decesso:</v>
      </c>
      <c r="B98" s="754">
        <f>B94*B93</f>
        <v>0</v>
      </c>
      <c r="C98" s="752" t="str">
        <f>Traduzioni!G463</f>
        <v>Capitale</v>
      </c>
      <c r="D98" s="735"/>
    </row>
    <row r="99" spans="1:4" x14ac:dyDescent="0.35">
      <c r="A99" s="750" t="str">
        <f t="shared" si="0"/>
        <v>Imposte annue senza deduzione 3. pilastro</v>
      </c>
      <c r="B99" s="754">
        <f>ANALYSIS!C88</f>
        <v>0</v>
      </c>
      <c r="C99" s="752" t="str">
        <f>C96</f>
        <v>importo annuo</v>
      </c>
      <c r="D99" s="735"/>
    </row>
    <row r="100" spans="1:4" ht="16" thickBot="1" x14ac:dyDescent="0.4">
      <c r="A100" s="750" t="str">
        <f t="shared" si="0"/>
        <v>Imposte annue con deduzione 3. pilastro</v>
      </c>
      <c r="B100" s="755">
        <f>IF(ANALYSIS!C68&lt;&gt;0,ANALYSIS!C68,IF(B99=0,B93*20%*-1,B99*80%))</f>
        <v>0</v>
      </c>
      <c r="C100" s="752" t="str">
        <f>C99</f>
        <v>importo annuo</v>
      </c>
      <c r="D100" s="735"/>
    </row>
    <row r="101" spans="1:4" x14ac:dyDescent="0.35">
      <c r="A101" s="338"/>
      <c r="B101" s="339"/>
      <c r="C101" s="324"/>
      <c r="D101" s="279"/>
    </row>
    <row r="102" spans="1:4" x14ac:dyDescent="0.35">
      <c r="A102" s="338"/>
      <c r="B102" s="339"/>
      <c r="C102" s="324"/>
      <c r="D102" s="279"/>
    </row>
    <row r="103" spans="1:4" x14ac:dyDescent="0.35">
      <c r="A103" s="338"/>
      <c r="B103" s="339"/>
      <c r="C103" s="324"/>
      <c r="D103" s="279"/>
    </row>
    <row r="104" spans="1:4" x14ac:dyDescent="0.35">
      <c r="A104" s="338"/>
      <c r="B104" s="339"/>
      <c r="C104" s="324"/>
      <c r="D104" s="279"/>
    </row>
    <row r="105" spans="1:4" ht="66" customHeight="1" x14ac:dyDescent="0.4">
      <c r="A105" s="1232" t="str">
        <f>Traduzioni!G464</f>
        <v>Personalizzazione Calcolo tenuta oneri: Dati preimpostati per eventuale calcolo sostenibilità;</v>
      </c>
      <c r="B105" s="1232"/>
      <c r="C105" s="279"/>
      <c r="D105" s="279"/>
    </row>
    <row r="106" spans="1:4" ht="4.5" customHeight="1" x14ac:dyDescent="0.4">
      <c r="A106" s="771"/>
      <c r="B106" s="771"/>
      <c r="C106" s="772"/>
      <c r="D106" s="279"/>
    </row>
    <row r="107" spans="1:4" ht="18" customHeight="1" x14ac:dyDescent="0.4">
      <c r="A107" s="770"/>
      <c r="B107" s="770" t="str">
        <f>Traduzioni!G664</f>
        <v>Attuale</v>
      </c>
      <c r="C107" s="772"/>
      <c r="D107" s="279"/>
    </row>
    <row r="108" spans="1:4" ht="17" customHeight="1" x14ac:dyDescent="0.4">
      <c r="A108" s="775"/>
      <c r="B108" s="776" t="str">
        <f>Traduzioni!G663</f>
        <v>Proposta</v>
      </c>
      <c r="C108" s="772"/>
      <c r="D108" s="279"/>
    </row>
    <row r="109" spans="1:4" ht="4" customHeight="1" thickBot="1" x14ac:dyDescent="0.45">
      <c r="A109" s="771"/>
      <c r="B109" s="771"/>
      <c r="C109" s="772"/>
      <c r="D109" s="279"/>
    </row>
    <row r="110" spans="1:4" x14ac:dyDescent="0.35">
      <c r="A110" s="1200" t="str">
        <f>Traduzioni!G465</f>
        <v>Sviluppo debiti nel tempo senza risparmio proposto</v>
      </c>
      <c r="B110" s="1201"/>
      <c r="C110" s="279"/>
      <c r="D110" s="279"/>
    </row>
    <row r="111" spans="1:4" x14ac:dyDescent="0.35">
      <c r="A111" s="1202"/>
      <c r="B111" s="1203"/>
      <c r="C111" s="279"/>
      <c r="D111" s="279"/>
    </row>
    <row r="112" spans="1:4" x14ac:dyDescent="0.35">
      <c r="A112" s="758" t="str">
        <f>Traduzioni!G466</f>
        <v>Anno</v>
      </c>
      <c r="B112" s="759" t="str">
        <f>Traduzioni!G467</f>
        <v>Onere annuo leasing/debiti privati</v>
      </c>
      <c r="C112" s="279"/>
      <c r="D112" s="279"/>
    </row>
    <row r="113" spans="1:4" x14ac:dyDescent="0.35">
      <c r="A113" s="758">
        <f ca="1">'Parametri generali'!B6</f>
        <v>2025</v>
      </c>
      <c r="B113" s="759">
        <f>'FUTURE-FINANZ.'!E7</f>
        <v>0</v>
      </c>
      <c r="C113" s="279"/>
      <c r="D113" s="279"/>
    </row>
    <row r="114" spans="1:4" x14ac:dyDescent="0.35">
      <c r="A114" s="758">
        <f ca="1">A113+1</f>
        <v>2026</v>
      </c>
      <c r="B114" s="760">
        <f>B113</f>
        <v>0</v>
      </c>
      <c r="C114" s="279"/>
      <c r="D114" s="279"/>
    </row>
    <row r="115" spans="1:4" x14ac:dyDescent="0.35">
      <c r="A115" s="758">
        <f ca="1">A114+1</f>
        <v>2027</v>
      </c>
      <c r="B115" s="760">
        <f>B114</f>
        <v>0</v>
      </c>
      <c r="C115" s="279"/>
      <c r="D115" s="279"/>
    </row>
    <row r="116" spans="1:4" x14ac:dyDescent="0.35">
      <c r="A116" s="758">
        <f ca="1">A115+1</f>
        <v>2028</v>
      </c>
      <c r="B116" s="760">
        <v>0</v>
      </c>
      <c r="C116" s="279"/>
      <c r="D116" s="279"/>
    </row>
    <row r="117" spans="1:4" s="2" customFormat="1" ht="13" x14ac:dyDescent="0.3">
      <c r="A117" s="758">
        <f ca="1">A116+1</f>
        <v>2029</v>
      </c>
      <c r="B117" s="760">
        <f>B116</f>
        <v>0</v>
      </c>
      <c r="C117" s="344"/>
      <c r="D117" s="344"/>
    </row>
    <row r="118" spans="1:4" s="2" customFormat="1" ht="13.5" thickBot="1" x14ac:dyDescent="0.35">
      <c r="A118" s="768">
        <f ca="1">A117+1</f>
        <v>2030</v>
      </c>
      <c r="B118" s="769">
        <f>B117</f>
        <v>0</v>
      </c>
      <c r="C118" s="344"/>
      <c r="D118" s="344"/>
    </row>
    <row r="119" spans="1:4" s="2" customFormat="1" ht="13.5" hidden="1" thickBot="1" x14ac:dyDescent="0.35">
      <c r="A119" s="340"/>
      <c r="B119" s="341"/>
      <c r="C119" s="344"/>
      <c r="D119" s="344"/>
    </row>
    <row r="120" spans="1:4" s="2" customFormat="1" ht="13" hidden="1" x14ac:dyDescent="0.3">
      <c r="A120" s="340"/>
      <c r="B120" s="341"/>
      <c r="C120" s="344"/>
      <c r="D120" s="344"/>
    </row>
    <row r="121" spans="1:4" s="2" customFormat="1" ht="13" x14ac:dyDescent="0.3">
      <c r="A121" s="1204" t="str">
        <f>Traduzioni!G468</f>
        <v>Sviluppo debiti nel tempo CON risparmio proposto</v>
      </c>
      <c r="B121" s="1205"/>
      <c r="C121" s="344"/>
      <c r="D121" s="344"/>
    </row>
    <row r="122" spans="1:4" s="2" customFormat="1" ht="13" x14ac:dyDescent="0.3">
      <c r="A122" s="1206"/>
      <c r="B122" s="1207"/>
      <c r="C122" s="344"/>
      <c r="D122" s="344"/>
    </row>
    <row r="123" spans="1:4" s="2" customFormat="1" ht="13" x14ac:dyDescent="0.3">
      <c r="A123" s="761" t="str">
        <f>A112</f>
        <v>Anno</v>
      </c>
      <c r="B123" s="762" t="str">
        <f>B112</f>
        <v>Onere annuo leasing/debiti privati</v>
      </c>
      <c r="C123" s="344"/>
      <c r="D123" s="344"/>
    </row>
    <row r="124" spans="1:4" s="2" customFormat="1" ht="13" x14ac:dyDescent="0.3">
      <c r="A124" s="761">
        <f t="shared" ref="A124:A129" ca="1" si="1">A113</f>
        <v>2025</v>
      </c>
      <c r="B124" s="762">
        <f t="shared" ref="B124:B129" si="2">B113</f>
        <v>0</v>
      </c>
      <c r="C124" s="344"/>
      <c r="D124" s="344"/>
    </row>
    <row r="125" spans="1:4" s="2" customFormat="1" ht="13" x14ac:dyDescent="0.3">
      <c r="A125" s="761">
        <f t="shared" ca="1" si="1"/>
        <v>2026</v>
      </c>
      <c r="B125" s="763">
        <f t="shared" si="2"/>
        <v>0</v>
      </c>
      <c r="C125" s="344"/>
      <c r="D125" s="344"/>
    </row>
    <row r="126" spans="1:4" s="2" customFormat="1" ht="13" x14ac:dyDescent="0.3">
      <c r="A126" s="761">
        <f t="shared" ca="1" si="1"/>
        <v>2027</v>
      </c>
      <c r="B126" s="763">
        <f t="shared" si="2"/>
        <v>0</v>
      </c>
      <c r="C126" s="344"/>
      <c r="D126" s="344"/>
    </row>
    <row r="127" spans="1:4" s="2" customFormat="1" ht="13" x14ac:dyDescent="0.3">
      <c r="A127" s="761">
        <f t="shared" ca="1" si="1"/>
        <v>2028</v>
      </c>
      <c r="B127" s="763">
        <f t="shared" si="2"/>
        <v>0</v>
      </c>
      <c r="C127" s="344"/>
      <c r="D127" s="344"/>
    </row>
    <row r="128" spans="1:4" s="2" customFormat="1" ht="13" x14ac:dyDescent="0.3">
      <c r="A128" s="761">
        <f t="shared" ca="1" si="1"/>
        <v>2029</v>
      </c>
      <c r="B128" s="763">
        <f t="shared" si="2"/>
        <v>0</v>
      </c>
      <c r="C128" s="344"/>
      <c r="D128" s="344"/>
    </row>
    <row r="129" spans="1:4" s="2" customFormat="1" ht="13.5" thickBot="1" x14ac:dyDescent="0.35">
      <c r="A129" s="764">
        <f t="shared" ca="1" si="1"/>
        <v>2030</v>
      </c>
      <c r="B129" s="765">
        <f t="shared" si="2"/>
        <v>0</v>
      </c>
      <c r="C129" s="344"/>
      <c r="D129" s="344"/>
    </row>
    <row r="130" spans="1:4" s="2" customFormat="1" ht="13.5" thickBot="1" x14ac:dyDescent="0.35">
      <c r="A130" s="766"/>
      <c r="B130" s="767"/>
      <c r="C130" s="344"/>
      <c r="D130" s="344"/>
    </row>
    <row r="131" spans="1:4" s="2" customFormat="1" ht="13" hidden="1" x14ac:dyDescent="0.3">
      <c r="A131" s="344"/>
      <c r="B131" s="344"/>
      <c r="C131" s="344"/>
      <c r="D131" s="344"/>
    </row>
    <row r="132" spans="1:4" s="2" customFormat="1" ht="13" hidden="1" x14ac:dyDescent="0.3">
      <c r="A132" s="344"/>
      <c r="B132" s="344"/>
      <c r="C132" s="344"/>
      <c r="D132" s="344"/>
    </row>
    <row r="133" spans="1:4" s="2" customFormat="1" ht="13.5" hidden="1" thickBot="1" x14ac:dyDescent="0.35">
      <c r="A133" s="344"/>
      <c r="B133" s="344"/>
      <c r="C133" s="344"/>
      <c r="D133" s="344"/>
    </row>
    <row r="134" spans="1:4" s="2" customFormat="1" ht="13" x14ac:dyDescent="0.3">
      <c r="A134" s="1208" t="str">
        <f>Traduzioni!G469</f>
        <v>Sviluppo reddito nel tempo situazione attuale</v>
      </c>
      <c r="B134" s="1209"/>
      <c r="C134" s="344"/>
      <c r="D134" s="344"/>
    </row>
    <row r="135" spans="1:4" s="2" customFormat="1" ht="13" x14ac:dyDescent="0.3">
      <c r="A135" s="1210"/>
      <c r="B135" s="1211"/>
      <c r="C135" s="344"/>
      <c r="D135" s="344"/>
    </row>
    <row r="136" spans="1:4" s="2" customFormat="1" ht="13" x14ac:dyDescent="0.3">
      <c r="A136" s="758" t="str">
        <f>A123</f>
        <v>Anno</v>
      </c>
      <c r="B136" s="759" t="str">
        <f>Traduzioni!G470</f>
        <v>Sviluppo reddito</v>
      </c>
      <c r="C136" s="344"/>
      <c r="D136" s="344"/>
    </row>
    <row r="137" spans="1:4" s="2" customFormat="1" ht="13" x14ac:dyDescent="0.3">
      <c r="A137" s="758">
        <f ca="1">A124</f>
        <v>2025</v>
      </c>
      <c r="B137" s="759">
        <f>'FUTURE-FINANZ.'!E6</f>
        <v>0</v>
      </c>
      <c r="C137" s="344"/>
      <c r="D137" s="344"/>
    </row>
    <row r="138" spans="1:4" s="2" customFormat="1" ht="13" x14ac:dyDescent="0.3">
      <c r="A138" s="758">
        <f ca="1">A137+1</f>
        <v>2026</v>
      </c>
      <c r="B138" s="760">
        <f>B137</f>
        <v>0</v>
      </c>
      <c r="C138" s="344"/>
      <c r="D138" s="344"/>
    </row>
    <row r="139" spans="1:4" s="2" customFormat="1" ht="13" x14ac:dyDescent="0.3">
      <c r="A139" s="758">
        <f ca="1">A138+1</f>
        <v>2027</v>
      </c>
      <c r="B139" s="760">
        <f>B138</f>
        <v>0</v>
      </c>
      <c r="C139" s="344"/>
      <c r="D139" s="344"/>
    </row>
    <row r="140" spans="1:4" s="2" customFormat="1" ht="13" x14ac:dyDescent="0.3">
      <c r="A140" s="758">
        <f ca="1">A139+1</f>
        <v>2028</v>
      </c>
      <c r="B140" s="760">
        <f>B139</f>
        <v>0</v>
      </c>
      <c r="C140" s="344"/>
      <c r="D140" s="344"/>
    </row>
    <row r="141" spans="1:4" s="2" customFormat="1" ht="14.25" customHeight="1" x14ac:dyDescent="0.3">
      <c r="A141" s="758">
        <f ca="1">A140+1</f>
        <v>2029</v>
      </c>
      <c r="B141" s="760">
        <f>B140</f>
        <v>0</v>
      </c>
      <c r="C141" s="344"/>
      <c r="D141" s="344"/>
    </row>
    <row r="142" spans="1:4" s="2" customFormat="1" ht="13.5" thickBot="1" x14ac:dyDescent="0.35">
      <c r="A142" s="768">
        <f ca="1">A141+1</f>
        <v>2030</v>
      </c>
      <c r="B142" s="769">
        <f>B141</f>
        <v>0</v>
      </c>
      <c r="C142" s="344"/>
      <c r="D142" s="344"/>
    </row>
    <row r="143" spans="1:4" s="2" customFormat="1" ht="13.5" hidden="1" thickBot="1" x14ac:dyDescent="0.35">
      <c r="A143" s="340"/>
      <c r="B143" s="341"/>
      <c r="C143" s="344"/>
      <c r="D143" s="344"/>
    </row>
    <row r="144" spans="1:4" s="2" customFormat="1" ht="13" hidden="1" x14ac:dyDescent="0.3">
      <c r="A144" s="340"/>
      <c r="B144" s="341"/>
      <c r="C144" s="344"/>
      <c r="D144" s="344"/>
    </row>
    <row r="145" spans="1:4" s="2" customFormat="1" ht="13" x14ac:dyDescent="0.3">
      <c r="A145" s="1212" t="str">
        <f>Traduzioni!G471</f>
        <v>Sviluppo reddito nel tempo situazione proposto</v>
      </c>
      <c r="B145" s="1213"/>
      <c r="C145" s="344"/>
      <c r="D145" s="344"/>
    </row>
    <row r="146" spans="1:4" s="2" customFormat="1" ht="13" x14ac:dyDescent="0.3">
      <c r="A146" s="1214"/>
      <c r="B146" s="1215"/>
      <c r="C146" s="344"/>
      <c r="D146" s="344"/>
    </row>
    <row r="147" spans="1:4" s="2" customFormat="1" ht="13" x14ac:dyDescent="0.3">
      <c r="A147" s="342" t="str">
        <f>A136</f>
        <v>Anno</v>
      </c>
      <c r="B147" s="343" t="str">
        <f>B136</f>
        <v>Sviluppo reddito</v>
      </c>
      <c r="C147" s="344"/>
      <c r="D147" s="344"/>
    </row>
    <row r="148" spans="1:4" s="2" customFormat="1" ht="13" x14ac:dyDescent="0.3">
      <c r="A148" s="342">
        <f t="shared" ref="A148:A153" ca="1" si="3">A137</f>
        <v>2025</v>
      </c>
      <c r="B148" s="343">
        <f>'FUTURE-FINANZ.'!E6</f>
        <v>0</v>
      </c>
      <c r="C148" s="344"/>
      <c r="D148" s="344"/>
    </row>
    <row r="149" spans="1:4" s="2" customFormat="1" ht="13" x14ac:dyDescent="0.3">
      <c r="A149" s="342">
        <f t="shared" ca="1" si="3"/>
        <v>2026</v>
      </c>
      <c r="B149" s="595">
        <f>B148</f>
        <v>0</v>
      </c>
      <c r="C149" s="344"/>
      <c r="D149" s="344"/>
    </row>
    <row r="150" spans="1:4" s="2" customFormat="1" ht="13" x14ac:dyDescent="0.3">
      <c r="A150" s="342">
        <f t="shared" ca="1" si="3"/>
        <v>2027</v>
      </c>
      <c r="B150" s="595">
        <f>B149</f>
        <v>0</v>
      </c>
      <c r="C150" s="344"/>
      <c r="D150" s="344"/>
    </row>
    <row r="151" spans="1:4" s="2" customFormat="1" ht="13" x14ac:dyDescent="0.3">
      <c r="A151" s="342">
        <f t="shared" ca="1" si="3"/>
        <v>2028</v>
      </c>
      <c r="B151" s="595">
        <f>B150</f>
        <v>0</v>
      </c>
      <c r="C151" s="344"/>
      <c r="D151" s="344"/>
    </row>
    <row r="152" spans="1:4" s="2" customFormat="1" ht="13" x14ac:dyDescent="0.3">
      <c r="A152" s="342">
        <f t="shared" ca="1" si="3"/>
        <v>2029</v>
      </c>
      <c r="B152" s="595">
        <f>B151</f>
        <v>0</v>
      </c>
      <c r="C152" s="344"/>
      <c r="D152" s="344"/>
    </row>
    <row r="153" spans="1:4" s="2" customFormat="1" ht="13.5" thickBot="1" x14ac:dyDescent="0.35">
      <c r="A153" s="345">
        <f t="shared" ca="1" si="3"/>
        <v>2030</v>
      </c>
      <c r="B153" s="596">
        <f>B152</f>
        <v>0</v>
      </c>
      <c r="C153" s="344"/>
      <c r="D153" s="344"/>
    </row>
    <row r="154" spans="1:4" s="2" customFormat="1" ht="13.5" thickBot="1" x14ac:dyDescent="0.35">
      <c r="A154" s="344"/>
      <c r="B154" s="344"/>
      <c r="C154" s="344"/>
      <c r="D154" s="344"/>
    </row>
    <row r="155" spans="1:4" s="2" customFormat="1" ht="13" hidden="1" x14ac:dyDescent="0.3">
      <c r="A155" s="344"/>
      <c r="B155" s="344"/>
      <c r="C155" s="344"/>
      <c r="D155" s="344"/>
    </row>
    <row r="156" spans="1:4" s="2" customFormat="1" ht="13.5" hidden="1" thickBot="1" x14ac:dyDescent="0.35">
      <c r="A156" s="344"/>
      <c r="B156" s="344"/>
      <c r="C156" s="344"/>
      <c r="D156" s="344"/>
    </row>
    <row r="157" spans="1:4" s="2" customFormat="1" ht="13" x14ac:dyDescent="0.3">
      <c r="A157" s="1208" t="str">
        <f>Traduzioni!G472</f>
        <v>Sviluppo risparmio nel tempo solo risparmio attuale</v>
      </c>
      <c r="B157" s="1209"/>
      <c r="C157" s="344"/>
      <c r="D157" s="344"/>
    </row>
    <row r="158" spans="1:4" s="2" customFormat="1" ht="13" x14ac:dyDescent="0.3">
      <c r="A158" s="1210"/>
      <c r="B158" s="1211"/>
      <c r="C158" s="344"/>
      <c r="D158" s="344"/>
    </row>
    <row r="159" spans="1:4" s="2" customFormat="1" ht="13" x14ac:dyDescent="0.3">
      <c r="A159" s="342" t="str">
        <f>A147</f>
        <v>Anno</v>
      </c>
      <c r="B159" s="343" t="str">
        <f>Traduzioni!G473</f>
        <v>Sviluppo risparmio</v>
      </c>
      <c r="C159" s="344"/>
      <c r="D159" s="344"/>
    </row>
    <row r="160" spans="1:4" s="2" customFormat="1" ht="13" x14ac:dyDescent="0.3">
      <c r="A160" s="342">
        <f ca="1">A148</f>
        <v>2025</v>
      </c>
      <c r="B160" s="343">
        <f>'FUTURE-FINANZ.'!K9</f>
        <v>0</v>
      </c>
      <c r="C160" s="344"/>
      <c r="D160" s="344"/>
    </row>
    <row r="161" spans="1:4" s="2" customFormat="1" ht="13" x14ac:dyDescent="0.3">
      <c r="A161" s="342">
        <f ca="1">A160+1</f>
        <v>2026</v>
      </c>
      <c r="B161" s="773">
        <f>B160</f>
        <v>0</v>
      </c>
      <c r="C161" s="344"/>
      <c r="D161" s="344"/>
    </row>
    <row r="162" spans="1:4" s="2" customFormat="1" ht="13" x14ac:dyDescent="0.3">
      <c r="A162" s="342">
        <f ca="1">A161+1</f>
        <v>2027</v>
      </c>
      <c r="B162" s="773">
        <f>B161</f>
        <v>0</v>
      </c>
      <c r="C162" s="344"/>
      <c r="D162" s="344"/>
    </row>
    <row r="163" spans="1:4" s="2" customFormat="1" ht="13" x14ac:dyDescent="0.3">
      <c r="A163" s="342">
        <f ca="1">A162+1</f>
        <v>2028</v>
      </c>
      <c r="B163" s="773">
        <f>B162</f>
        <v>0</v>
      </c>
      <c r="C163" s="344"/>
      <c r="D163" s="344"/>
    </row>
    <row r="164" spans="1:4" s="2" customFormat="1" ht="13" x14ac:dyDescent="0.3">
      <c r="A164" s="342">
        <f ca="1">A163+1</f>
        <v>2029</v>
      </c>
      <c r="B164" s="773">
        <f>B163</f>
        <v>0</v>
      </c>
      <c r="C164" s="344"/>
      <c r="D164" s="344"/>
    </row>
    <row r="165" spans="1:4" s="2" customFormat="1" ht="13.5" thickBot="1" x14ac:dyDescent="0.35">
      <c r="A165" s="345">
        <f ca="1">A164+1</f>
        <v>2030</v>
      </c>
      <c r="B165" s="774">
        <f>B164</f>
        <v>0</v>
      </c>
      <c r="C165" s="344"/>
      <c r="D165" s="344"/>
    </row>
    <row r="166" spans="1:4" s="2" customFormat="1" ht="13.5" hidden="1" thickBot="1" x14ac:dyDescent="0.35">
      <c r="A166" s="340"/>
      <c r="B166" s="341"/>
      <c r="C166" s="344"/>
      <c r="D166" s="344"/>
    </row>
    <row r="167" spans="1:4" s="2" customFormat="1" ht="13" hidden="1" x14ac:dyDescent="0.3">
      <c r="A167" s="340"/>
      <c r="B167" s="341"/>
      <c r="C167" s="344"/>
      <c r="D167" s="344"/>
    </row>
    <row r="168" spans="1:4" s="2" customFormat="1" ht="13" x14ac:dyDescent="0.3">
      <c r="A168" s="1212" t="str">
        <f>Traduzioni!G474</f>
        <v>Sviluppo risparmio nel tempo proposto</v>
      </c>
      <c r="B168" s="1213"/>
      <c r="C168" s="344"/>
      <c r="D168" s="344"/>
    </row>
    <row r="169" spans="1:4" s="2" customFormat="1" ht="13" x14ac:dyDescent="0.3">
      <c r="A169" s="1214"/>
      <c r="B169" s="1215"/>
      <c r="C169" s="344"/>
      <c r="D169" s="344"/>
    </row>
    <row r="170" spans="1:4" s="2" customFormat="1" ht="13" x14ac:dyDescent="0.3">
      <c r="A170" s="342" t="str">
        <f>A147</f>
        <v>Anno</v>
      </c>
      <c r="B170" s="343" t="str">
        <f>B159</f>
        <v>Sviluppo risparmio</v>
      </c>
      <c r="C170" s="344"/>
      <c r="D170" s="344"/>
    </row>
    <row r="171" spans="1:4" x14ac:dyDescent="0.35">
      <c r="A171" s="342">
        <f t="shared" ref="A171:A176" ca="1" si="4">A160</f>
        <v>2025</v>
      </c>
      <c r="B171" s="343">
        <f>'FUTURE-FINANZ.'!K10</f>
        <v>0</v>
      </c>
      <c r="C171" s="279"/>
      <c r="D171" s="279"/>
    </row>
    <row r="172" spans="1:4" x14ac:dyDescent="0.35">
      <c r="A172" s="342">
        <f t="shared" ca="1" si="4"/>
        <v>2026</v>
      </c>
      <c r="B172" s="595">
        <f>B171</f>
        <v>0</v>
      </c>
      <c r="C172" s="279"/>
      <c r="D172" s="279"/>
    </row>
    <row r="173" spans="1:4" x14ac:dyDescent="0.35">
      <c r="A173" s="342">
        <f t="shared" ca="1" si="4"/>
        <v>2027</v>
      </c>
      <c r="B173" s="595">
        <f>B172</f>
        <v>0</v>
      </c>
      <c r="C173" s="279"/>
      <c r="D173" s="279"/>
    </row>
    <row r="174" spans="1:4" x14ac:dyDescent="0.35">
      <c r="A174" s="342">
        <f t="shared" ca="1" si="4"/>
        <v>2028</v>
      </c>
      <c r="B174" s="595">
        <f>B173</f>
        <v>0</v>
      </c>
      <c r="C174" s="279"/>
      <c r="D174" s="279"/>
    </row>
    <row r="175" spans="1:4" x14ac:dyDescent="0.35">
      <c r="A175" s="342">
        <f t="shared" ca="1" si="4"/>
        <v>2029</v>
      </c>
      <c r="B175" s="595">
        <f>B174</f>
        <v>0</v>
      </c>
      <c r="C175" s="279"/>
      <c r="D175" s="279"/>
    </row>
    <row r="176" spans="1:4" ht="16" thickBot="1" x14ac:dyDescent="0.4">
      <c r="A176" s="345">
        <f t="shared" ca="1" si="4"/>
        <v>2030</v>
      </c>
      <c r="B176" s="596">
        <f>B175</f>
        <v>0</v>
      </c>
      <c r="C176" s="279"/>
      <c r="D176" s="279"/>
    </row>
    <row r="177" spans="1:4" x14ac:dyDescent="0.35">
      <c r="A177" s="279"/>
      <c r="B177" s="279"/>
      <c r="C177" s="279"/>
      <c r="D177" s="279"/>
    </row>
  </sheetData>
  <sheetProtection sheet="1" formatCells="0" formatColumns="0" formatRows="0" insertColumns="0" insertRows="0" insertHyperlinks="0" deleteColumns="0" deleteRows="0" selectLockedCells="1" sort="0" autoFilter="0"/>
  <mergeCells count="150">
    <mergeCell ref="A2:B2"/>
    <mergeCell ref="A105:B105"/>
    <mergeCell ref="A92:B92"/>
    <mergeCell ref="B59:C59"/>
    <mergeCell ref="B60:C60"/>
    <mergeCell ref="B61:C61"/>
    <mergeCell ref="B62:C62"/>
    <mergeCell ref="A91:B91"/>
    <mergeCell ref="A36:B36"/>
    <mergeCell ref="C36:D36"/>
    <mergeCell ref="E36:F36"/>
    <mergeCell ref="G36:H36"/>
    <mergeCell ref="A37:B37"/>
    <mergeCell ref="B4:C4"/>
    <mergeCell ref="B5:C5"/>
    <mergeCell ref="B6:C6"/>
    <mergeCell ref="B7:C7"/>
    <mergeCell ref="I36:J36"/>
    <mergeCell ref="A8:B8"/>
    <mergeCell ref="K36:L36"/>
    <mergeCell ref="M36:N36"/>
    <mergeCell ref="O36:P36"/>
    <mergeCell ref="Q36:R36"/>
    <mergeCell ref="S36:T36"/>
    <mergeCell ref="U36:V36"/>
    <mergeCell ref="W36:X36"/>
    <mergeCell ref="Y36:Z36"/>
    <mergeCell ref="AA36:AB36"/>
    <mergeCell ref="AC36:AD36"/>
    <mergeCell ref="AE36:AF36"/>
    <mergeCell ref="AG36:AH36"/>
    <mergeCell ref="AI36:AJ36"/>
    <mergeCell ref="AK36:AL36"/>
    <mergeCell ref="AM36:AN36"/>
    <mergeCell ref="AO36:AP36"/>
    <mergeCell ref="AQ36:AR36"/>
    <mergeCell ref="AS36:AT36"/>
    <mergeCell ref="AU36:AV36"/>
    <mergeCell ref="AW36:AX36"/>
    <mergeCell ref="AY36:AZ36"/>
    <mergeCell ref="BA36:BB36"/>
    <mergeCell ref="BC36:BD36"/>
    <mergeCell ref="BE36:BF36"/>
    <mergeCell ref="BG36:BH36"/>
    <mergeCell ref="BI36:BJ36"/>
    <mergeCell ref="BK36:BL36"/>
    <mergeCell ref="BM36:BN36"/>
    <mergeCell ref="BO36:BP36"/>
    <mergeCell ref="BQ36:BR36"/>
    <mergeCell ref="BS36:BT36"/>
    <mergeCell ref="BU36:BV36"/>
    <mergeCell ref="BW36:BX36"/>
    <mergeCell ref="BY36:BZ36"/>
    <mergeCell ref="CA36:CB36"/>
    <mergeCell ref="CC36:CD36"/>
    <mergeCell ref="CE36:CF36"/>
    <mergeCell ref="CG36:CH36"/>
    <mergeCell ref="CI36:CJ36"/>
    <mergeCell ref="CK36:CL36"/>
    <mergeCell ref="CM36:CN36"/>
    <mergeCell ref="CO36:CP36"/>
    <mergeCell ref="CQ36:CR36"/>
    <mergeCell ref="CS36:CT36"/>
    <mergeCell ref="CU36:CV36"/>
    <mergeCell ref="CW36:CX36"/>
    <mergeCell ref="CY36:CZ36"/>
    <mergeCell ref="DA36:DB36"/>
    <mergeCell ref="DC36:DD36"/>
    <mergeCell ref="DE36:DF36"/>
    <mergeCell ref="DG36:DH36"/>
    <mergeCell ref="DI36:DJ36"/>
    <mergeCell ref="DK36:DL36"/>
    <mergeCell ref="DM36:DN36"/>
    <mergeCell ref="DO36:DP36"/>
    <mergeCell ref="DQ36:DR36"/>
    <mergeCell ref="DS36:DT36"/>
    <mergeCell ref="DU36:DV36"/>
    <mergeCell ref="DW36:DX36"/>
    <mergeCell ref="DY36:DZ36"/>
    <mergeCell ref="EA36:EB36"/>
    <mergeCell ref="EC36:ED36"/>
    <mergeCell ref="EE36:EF36"/>
    <mergeCell ref="EG36:EH36"/>
    <mergeCell ref="EI36:EJ36"/>
    <mergeCell ref="EK36:EL36"/>
    <mergeCell ref="EM36:EN36"/>
    <mergeCell ref="EO36:EP36"/>
    <mergeCell ref="EQ36:ER36"/>
    <mergeCell ref="ES36:ET36"/>
    <mergeCell ref="EU36:EV36"/>
    <mergeCell ref="EW36:EX36"/>
    <mergeCell ref="EY36:EZ36"/>
    <mergeCell ref="FA36:FB36"/>
    <mergeCell ref="FC36:FD36"/>
    <mergeCell ref="FE36:FF36"/>
    <mergeCell ref="FG36:FH36"/>
    <mergeCell ref="FI36:FJ36"/>
    <mergeCell ref="FK36:FL36"/>
    <mergeCell ref="FM36:FN36"/>
    <mergeCell ref="FO36:FP36"/>
    <mergeCell ref="FQ36:FR36"/>
    <mergeCell ref="FS36:FT36"/>
    <mergeCell ref="FU36:FV36"/>
    <mergeCell ref="FW36:FX36"/>
    <mergeCell ref="FY36:FZ36"/>
    <mergeCell ref="GA36:GB36"/>
    <mergeCell ref="GC36:GD36"/>
    <mergeCell ref="GE36:GF36"/>
    <mergeCell ref="HM36:HN36"/>
    <mergeCell ref="HK36:HL36"/>
    <mergeCell ref="GY36:GZ36"/>
    <mergeCell ref="HA36:HB36"/>
    <mergeCell ref="HC36:HD36"/>
    <mergeCell ref="HE36:HF36"/>
    <mergeCell ref="HG36:HH36"/>
    <mergeCell ref="HI36:HJ36"/>
    <mergeCell ref="HO36:HP36"/>
    <mergeCell ref="GG36:GH36"/>
    <mergeCell ref="GI36:GJ36"/>
    <mergeCell ref="GK36:GL36"/>
    <mergeCell ref="GM36:GN36"/>
    <mergeCell ref="GO36:GP36"/>
    <mergeCell ref="GQ36:GR36"/>
    <mergeCell ref="GS36:GT36"/>
    <mergeCell ref="GU36:GV36"/>
    <mergeCell ref="GW36:GX36"/>
    <mergeCell ref="A110:B111"/>
    <mergeCell ref="A121:B122"/>
    <mergeCell ref="A134:B135"/>
    <mergeCell ref="A145:B146"/>
    <mergeCell ref="A157:B158"/>
    <mergeCell ref="A168:B169"/>
    <mergeCell ref="A1:B1"/>
    <mergeCell ref="IS36:IT36"/>
    <mergeCell ref="IU36:IV36"/>
    <mergeCell ref="A58:B58"/>
    <mergeCell ref="IC36:ID36"/>
    <mergeCell ref="IE36:IF36"/>
    <mergeCell ref="IG36:IH36"/>
    <mergeCell ref="II36:IJ36"/>
    <mergeCell ref="IK36:IL36"/>
    <mergeCell ref="IM36:IN36"/>
    <mergeCell ref="HQ36:HR36"/>
    <mergeCell ref="HS36:HT36"/>
    <mergeCell ref="HU36:HV36"/>
    <mergeCell ref="HW36:HX36"/>
    <mergeCell ref="HY36:HZ36"/>
    <mergeCell ref="IA36:IB36"/>
    <mergeCell ref="IO36:IP36"/>
    <mergeCell ref="IQ36:IR36"/>
  </mergeCells>
  <phoneticPr fontId="42" type="noConversion"/>
  <pageMargins left="0.25" right="0.25" top="0.75" bottom="0.75" header="0.51180555555555551" footer="0.51180555555555551"/>
  <pageSetup paperSize="9"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A1904-0969-460C-8B80-EBE9E9581D3E}">
  <sheetPr codeName="Foglio9"/>
  <dimension ref="A43:A111"/>
  <sheetViews>
    <sheetView zoomScale="120" zoomScaleNormal="120" workbookViewId="0">
      <selection activeCell="B6" sqref="B6"/>
    </sheetView>
  </sheetViews>
  <sheetFormatPr defaultColWidth="12.1796875" defaultRowHeight="15.5" x14ac:dyDescent="0.35"/>
  <cols>
    <col min="1" max="1" width="41" style="1" customWidth="1"/>
    <col min="2" max="2" width="25.26953125" style="1" customWidth="1"/>
    <col min="3" max="3" width="15.453125" style="1" customWidth="1"/>
    <col min="4" max="16384" width="12.1796875" style="1"/>
  </cols>
  <sheetData>
    <row r="43" spans="1:1" x14ac:dyDescent="0.35">
      <c r="A43" s="5"/>
    </row>
    <row r="44" spans="1:1" x14ac:dyDescent="0.35">
      <c r="A44" s="5"/>
    </row>
    <row r="45" spans="1:1" x14ac:dyDescent="0.35">
      <c r="A45" s="5"/>
    </row>
    <row r="46" spans="1:1" x14ac:dyDescent="0.35">
      <c r="A46" s="5"/>
    </row>
    <row r="47" spans="1:1" x14ac:dyDescent="0.35">
      <c r="A47" s="5"/>
    </row>
    <row r="48" spans="1:1" x14ac:dyDescent="0.35">
      <c r="A48" s="5"/>
    </row>
    <row r="49" spans="1:1" x14ac:dyDescent="0.35">
      <c r="A49" s="5"/>
    </row>
    <row r="50" spans="1:1" x14ac:dyDescent="0.35">
      <c r="A50" s="5"/>
    </row>
    <row r="51" spans="1:1" x14ac:dyDescent="0.35">
      <c r="A51" s="5"/>
    </row>
    <row r="52" spans="1:1" x14ac:dyDescent="0.35">
      <c r="A52" s="5"/>
    </row>
    <row r="53" spans="1:1" x14ac:dyDescent="0.35">
      <c r="A53" s="5"/>
    </row>
    <row r="54" spans="1:1" x14ac:dyDescent="0.35">
      <c r="A54" s="5"/>
    </row>
    <row r="55" spans="1:1" x14ac:dyDescent="0.35">
      <c r="A55" s="5"/>
    </row>
    <row r="56" spans="1:1" x14ac:dyDescent="0.35">
      <c r="A56" s="5"/>
    </row>
    <row r="57" spans="1:1" x14ac:dyDescent="0.35">
      <c r="A57" s="5"/>
    </row>
    <row r="58" spans="1:1" s="2" customFormat="1" ht="13" x14ac:dyDescent="0.3"/>
    <row r="59" spans="1:1" s="2" customFormat="1" ht="13" x14ac:dyDescent="0.3"/>
    <row r="60" spans="1:1" s="2" customFormat="1" ht="13" x14ac:dyDescent="0.3"/>
    <row r="61" spans="1:1" s="2" customFormat="1" ht="13" x14ac:dyDescent="0.3"/>
    <row r="62" spans="1:1" s="2" customFormat="1" ht="13" x14ac:dyDescent="0.3"/>
    <row r="63" spans="1:1" s="2" customFormat="1" ht="13" x14ac:dyDescent="0.3"/>
    <row r="64" spans="1:1" s="2" customFormat="1" ht="13" x14ac:dyDescent="0.3"/>
    <row r="65" s="2" customFormat="1" ht="13" x14ac:dyDescent="0.3"/>
    <row r="66" s="2" customFormat="1" ht="13" x14ac:dyDescent="0.3"/>
    <row r="67" s="2" customFormat="1" ht="13" x14ac:dyDescent="0.3"/>
    <row r="68" s="2" customFormat="1" ht="13" x14ac:dyDescent="0.3"/>
    <row r="69" s="2" customFormat="1" ht="13" x14ac:dyDescent="0.3"/>
    <row r="70" s="2" customFormat="1" ht="13" x14ac:dyDescent="0.3"/>
    <row r="71" s="2" customFormat="1" ht="13" x14ac:dyDescent="0.3"/>
    <row r="72" s="2" customFormat="1" ht="13" x14ac:dyDescent="0.3"/>
    <row r="73" s="2" customFormat="1" ht="13" x14ac:dyDescent="0.3"/>
    <row r="74" s="2" customFormat="1" ht="13" x14ac:dyDescent="0.3"/>
    <row r="75" s="2" customFormat="1" ht="13" x14ac:dyDescent="0.3"/>
    <row r="76" s="2" customFormat="1" ht="13" x14ac:dyDescent="0.3"/>
    <row r="77" s="2" customFormat="1" ht="13" x14ac:dyDescent="0.3"/>
    <row r="78" s="2" customFormat="1" ht="13" x14ac:dyDescent="0.3"/>
    <row r="79" s="2" customFormat="1" ht="13" x14ac:dyDescent="0.3"/>
    <row r="80" s="2" customFormat="1" ht="13" x14ac:dyDescent="0.3"/>
    <row r="81" s="2" customFormat="1" ht="13" x14ac:dyDescent="0.3"/>
    <row r="82" s="2" customFormat="1" ht="9" customHeight="1" x14ac:dyDescent="0.3"/>
    <row r="83" s="2" customFormat="1" ht="13" x14ac:dyDescent="0.3"/>
    <row r="84" s="2" customFormat="1" ht="13" x14ac:dyDescent="0.3"/>
    <row r="85" s="2" customFormat="1" ht="13" x14ac:dyDescent="0.3"/>
    <row r="86" s="2" customFormat="1" ht="13" x14ac:dyDescent="0.3"/>
    <row r="87" s="2" customFormat="1" ht="13" x14ac:dyDescent="0.3"/>
    <row r="88" s="2" customFormat="1" ht="13" x14ac:dyDescent="0.3"/>
    <row r="89" s="2" customFormat="1" ht="13" x14ac:dyDescent="0.3"/>
    <row r="90" s="2" customFormat="1" ht="13" x14ac:dyDescent="0.3"/>
    <row r="91" s="2" customFormat="1" ht="13" x14ac:dyDescent="0.3"/>
    <row r="92" s="2" customFormat="1" ht="13" x14ac:dyDescent="0.3"/>
    <row r="93" s="2" customFormat="1" ht="13" x14ac:dyDescent="0.3"/>
    <row r="94" s="2" customFormat="1" ht="13" x14ac:dyDescent="0.3"/>
    <row r="95" s="2" customFormat="1" ht="13" x14ac:dyDescent="0.3"/>
    <row r="96" s="2" customFormat="1" ht="13" x14ac:dyDescent="0.3"/>
    <row r="97" s="2" customFormat="1" ht="13" x14ac:dyDescent="0.3"/>
    <row r="98" s="2" customFormat="1" ht="13" x14ac:dyDescent="0.3"/>
    <row r="99" s="2" customFormat="1" ht="13" x14ac:dyDescent="0.3"/>
    <row r="100" s="2" customFormat="1" ht="13" x14ac:dyDescent="0.3"/>
    <row r="101" s="2" customFormat="1" ht="13" x14ac:dyDescent="0.3"/>
    <row r="102" s="2" customFormat="1" ht="13" x14ac:dyDescent="0.3"/>
    <row r="103" s="2" customFormat="1" ht="13" x14ac:dyDescent="0.3"/>
    <row r="104" s="2" customFormat="1" ht="13" x14ac:dyDescent="0.3"/>
    <row r="105" s="2" customFormat="1" ht="13" x14ac:dyDescent="0.3"/>
    <row r="106" s="2" customFormat="1" ht="13" x14ac:dyDescent="0.3"/>
    <row r="107" s="2" customFormat="1" ht="13" x14ac:dyDescent="0.3"/>
    <row r="108" s="2" customFormat="1" ht="13" x14ac:dyDescent="0.3"/>
    <row r="109" s="2" customFormat="1" ht="13" x14ac:dyDescent="0.3"/>
    <row r="110" s="2" customFormat="1" ht="13" x14ac:dyDescent="0.3"/>
    <row r="111" s="2" customFormat="1" ht="13" x14ac:dyDescent="0.3"/>
  </sheetData>
  <sheetProtection selectLockedCells="1"/>
  <pageMargins left="0.25" right="0.25" top="0.75" bottom="0.75" header="0.51180555555555551" footer="0.51180555555555551"/>
  <pageSetup paperSize="9"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3AB2-18FF-406B-BA9F-2F48811D3010}">
  <dimension ref="A1:H99"/>
  <sheetViews>
    <sheetView workbookViewId="0"/>
  </sheetViews>
  <sheetFormatPr defaultColWidth="12.1796875" defaultRowHeight="15.5" x14ac:dyDescent="0.35"/>
  <cols>
    <col min="1" max="1" width="26.26953125" style="1" customWidth="1"/>
    <col min="2" max="2" width="13.7265625" style="1" customWidth="1"/>
    <col min="3" max="3" width="19.1796875" style="1" customWidth="1"/>
    <col min="4" max="8" width="13.7265625" style="1" customWidth="1"/>
    <col min="9" max="16384" width="12.1796875" style="1"/>
  </cols>
  <sheetData>
    <row r="1" spans="1:8" ht="20.149999999999999" customHeight="1" x14ac:dyDescent="0.5">
      <c r="A1" s="200" t="s">
        <v>198</v>
      </c>
      <c r="B1" s="1248">
        <f>ANALYSIS!B19</f>
        <v>0</v>
      </c>
      <c r="C1" s="1248"/>
      <c r="D1" s="1248"/>
      <c r="E1" s="1245" t="s">
        <v>32</v>
      </c>
      <c r="F1" s="1245"/>
      <c r="G1" s="1246" t="s">
        <v>383</v>
      </c>
      <c r="H1" s="1246"/>
    </row>
    <row r="2" spans="1:8" ht="20.149999999999999" customHeight="1" x14ac:dyDescent="0.35">
      <c r="A2" s="200" t="s">
        <v>1</v>
      </c>
      <c r="B2" s="1249" t="str">
        <f>'RENDITE CLIENTE'!B2</f>
        <v>NeoLife AG</v>
      </c>
      <c r="C2" s="1249"/>
      <c r="D2" s="1249"/>
      <c r="E2" s="1245" t="s">
        <v>2</v>
      </c>
      <c r="F2" s="1245"/>
      <c r="G2" s="1247">
        <f ca="1">NOW()</f>
        <v>45680.292758449075</v>
      </c>
      <c r="H2" s="1247"/>
    </row>
    <row r="3" spans="1:8" s="2" customFormat="1" ht="13" x14ac:dyDescent="0.3"/>
    <row r="4" spans="1:8" s="2" customFormat="1" ht="20.149999999999999" customHeight="1" x14ac:dyDescent="0.3">
      <c r="A4" s="1243" t="s">
        <v>388</v>
      </c>
      <c r="B4" s="1244" t="s">
        <v>200</v>
      </c>
      <c r="C4" s="213" t="s">
        <v>387</v>
      </c>
      <c r="D4" s="1250">
        <f>'CM.TOT'!B57</f>
        <v>0</v>
      </c>
      <c r="E4" s="1250" t="str">
        <f>IF('CM.TOT'!B104=0,"",'CM.TOT'!B104)</f>
        <v/>
      </c>
      <c r="F4" s="1250" t="str">
        <f>IF('CM.TOT'!B153=0,"",'CM.TOT'!B153)</f>
        <v/>
      </c>
      <c r="G4" s="1250" t="str">
        <f>IF('CM.TOT'!B202=0,"",'CM.TOT'!B202)</f>
        <v/>
      </c>
      <c r="H4" s="1250" t="str">
        <f>IF('CM.TOT'!B251=0,"",'CM.TOT'!B251)</f>
        <v/>
      </c>
    </row>
    <row r="5" spans="1:8" s="2" customFormat="1" ht="20.149999999999999" customHeight="1" x14ac:dyDescent="0.3">
      <c r="A5" s="1243"/>
      <c r="B5" s="1244"/>
      <c r="C5" s="214" t="s">
        <v>386</v>
      </c>
      <c r="D5" s="1251"/>
      <c r="E5" s="1251"/>
      <c r="F5" s="1251"/>
      <c r="G5" s="1251"/>
      <c r="H5" s="1251"/>
    </row>
    <row r="6" spans="1:8" s="2" customFormat="1" ht="40" customHeight="1" x14ac:dyDescent="0.3">
      <c r="A6" s="215" t="s">
        <v>199</v>
      </c>
      <c r="B6" s="202">
        <f>ANALYSIS!B116</f>
        <v>0</v>
      </c>
      <c r="C6" s="208" t="s">
        <v>390</v>
      </c>
      <c r="D6" s="205" t="str">
        <f>ANALYSIS!B117</f>
        <v/>
      </c>
      <c r="E6" s="100" t="str">
        <f>ANALYSIS!D117</f>
        <v/>
      </c>
      <c r="F6" s="100" t="str">
        <f>ANALYSIS!F117</f>
        <v/>
      </c>
      <c r="G6" s="100">
        <f>ANALYSIS!H117</f>
        <v>0</v>
      </c>
      <c r="H6" s="100">
        <f>ANALYSIS!J117</f>
        <v>0</v>
      </c>
    </row>
    <row r="7" spans="1:8" s="99" customFormat="1" ht="20.149999999999999" customHeight="1" x14ac:dyDescent="0.3">
      <c r="A7" s="215" t="s">
        <v>209</v>
      </c>
      <c r="B7" s="203">
        <v>1</v>
      </c>
      <c r="C7" s="209" t="s">
        <v>206</v>
      </c>
      <c r="D7" s="206">
        <v>1</v>
      </c>
      <c r="E7" s="103">
        <v>1</v>
      </c>
      <c r="F7" s="103">
        <v>1</v>
      </c>
      <c r="G7" s="103">
        <v>1</v>
      </c>
      <c r="H7" s="103">
        <v>1</v>
      </c>
    </row>
    <row r="8" spans="1:8" s="99" customFormat="1" ht="20.149999999999999" customHeight="1" x14ac:dyDescent="0.3">
      <c r="A8" s="215" t="str">
        <f>ANALYSIS!A122</f>
        <v xml:space="preserve">Libera scelta medici e ospedali </v>
      </c>
      <c r="B8" s="203">
        <f>ANALYSIS!B122</f>
        <v>0</v>
      </c>
      <c r="C8" s="209" t="s">
        <v>368</v>
      </c>
      <c r="D8" s="206">
        <f>ANALYSIS!G122</f>
        <v>1</v>
      </c>
      <c r="E8" s="103">
        <f>ANALYSIS!I122</f>
        <v>1</v>
      </c>
      <c r="F8" s="103">
        <f>ANALYSIS!K122</f>
        <v>0</v>
      </c>
      <c r="G8" s="103">
        <f>ANALYSIS!L122</f>
        <v>0</v>
      </c>
      <c r="H8" s="103">
        <f>ANALYSIS!M122</f>
        <v>0</v>
      </c>
    </row>
    <row r="9" spans="1:8" s="99" customFormat="1" ht="20.149999999999999" customHeight="1" x14ac:dyDescent="0.3">
      <c r="A9" s="215" t="str">
        <f>ANALYSIS!A123</f>
        <v>Privata/semiprivata</v>
      </c>
      <c r="B9" s="203">
        <f>ANALYSIS!B123</f>
        <v>0</v>
      </c>
      <c r="C9" s="209" t="s">
        <v>369</v>
      </c>
      <c r="D9" s="206">
        <f>ANALYSIS!G123</f>
        <v>1</v>
      </c>
      <c r="E9" s="103">
        <f>ANALYSIS!I123</f>
        <v>1</v>
      </c>
      <c r="F9" s="103">
        <f>ANALYSIS!K123</f>
        <v>0</v>
      </c>
      <c r="G9" s="103">
        <f>ANALYSIS!L123</f>
        <v>0</v>
      </c>
      <c r="H9" s="103">
        <f>ANALYSIS!M123</f>
        <v>0</v>
      </c>
    </row>
    <row r="10" spans="1:8" s="99" customFormat="1" ht="20.149999999999999" customHeight="1" x14ac:dyDescent="0.3">
      <c r="A10" s="215" t="str">
        <f>ANALYSIS!A124</f>
        <v xml:space="preserve">Dentistista </v>
      </c>
      <c r="B10" s="203">
        <f>ANALYSIS!B124</f>
        <v>0</v>
      </c>
      <c r="C10" s="209" t="str">
        <f>IF(ANALYSIS!B118=3,'Sigle per Analisi'!B80,IF(ANALYSIS!B118=0,"",'Sigle per Analisi'!B79))</f>
        <v>50% max CHF 500.--</v>
      </c>
      <c r="D10" s="206">
        <f>ANALYSIS!G124</f>
        <v>1</v>
      </c>
      <c r="E10" s="103">
        <f>ANALYSIS!I124</f>
        <v>1</v>
      </c>
      <c r="F10" s="103">
        <f>ANALYSIS!K124</f>
        <v>0</v>
      </c>
      <c r="G10" s="103">
        <f>ANALYSIS!L124</f>
        <v>0</v>
      </c>
      <c r="H10" s="103">
        <f>ANALYSIS!M124</f>
        <v>0</v>
      </c>
    </row>
    <row r="11" spans="1:8" s="99" customFormat="1" ht="20.149999999999999" customHeight="1" x14ac:dyDescent="0.3">
      <c r="A11" s="215" t="str">
        <f>ANALYSIS!A125</f>
        <v>Fitness</v>
      </c>
      <c r="B11" s="203">
        <f>ANALYSIS!B125</f>
        <v>0</v>
      </c>
      <c r="C11" s="209" t="s">
        <v>371</v>
      </c>
      <c r="D11" s="206">
        <f>ANALYSIS!G125</f>
        <v>1</v>
      </c>
      <c r="E11" s="103">
        <f>ANALYSIS!I125</f>
        <v>1</v>
      </c>
      <c r="F11" s="103">
        <f>ANALYSIS!K125</f>
        <v>0</v>
      </c>
      <c r="G11" s="103">
        <f>ANALYSIS!L125</f>
        <v>0</v>
      </c>
      <c r="H11" s="103">
        <f>ANALYSIS!M125</f>
        <v>0</v>
      </c>
    </row>
    <row r="12" spans="1:8" s="99" customFormat="1" ht="20.149999999999999" customHeight="1" x14ac:dyDescent="0.3">
      <c r="A12" s="215" t="str">
        <f>ANALYSIS!A126</f>
        <v xml:space="preserve">Occhiali e Lenti a contatto </v>
      </c>
      <c r="B12" s="203">
        <f>ANALYSIS!B126</f>
        <v>0</v>
      </c>
      <c r="C12" s="209" t="s">
        <v>371</v>
      </c>
      <c r="D12" s="206">
        <f>ANALYSIS!G126</f>
        <v>1</v>
      </c>
      <c r="E12" s="103">
        <f>ANALYSIS!I126</f>
        <v>1</v>
      </c>
      <c r="F12" s="103">
        <f>ANALYSIS!K126</f>
        <v>0</v>
      </c>
      <c r="G12" s="103">
        <f>ANALYSIS!L126</f>
        <v>0</v>
      </c>
      <c r="H12" s="103">
        <f>ANALYSIS!M126</f>
        <v>0</v>
      </c>
    </row>
    <row r="13" spans="1:8" s="99" customFormat="1" ht="20.149999999999999" customHeight="1" x14ac:dyDescent="0.3">
      <c r="A13" s="215" t="str">
        <f>ANALYSIS!A127</f>
        <v xml:space="preserve">Assistenza domiciliare </v>
      </c>
      <c r="B13" s="203">
        <f>ANALYSIS!B127</f>
        <v>0</v>
      </c>
      <c r="C13" s="209" t="str">
        <f>'Sigle per Analisi'!B81</f>
        <v>50% max CHF 1500.--</v>
      </c>
      <c r="D13" s="206">
        <f>ANALYSIS!G127</f>
        <v>1</v>
      </c>
      <c r="E13" s="103">
        <f>ANALYSIS!I127</f>
        <v>1</v>
      </c>
      <c r="F13" s="103">
        <f>ANALYSIS!K127</f>
        <v>0</v>
      </c>
      <c r="G13" s="103">
        <f>ANALYSIS!L127</f>
        <v>0</v>
      </c>
      <c r="H13" s="103">
        <f>ANALYSIS!M127</f>
        <v>0</v>
      </c>
    </row>
    <row r="14" spans="1:8" s="99" customFormat="1" ht="20.149999999999999" customHeight="1" x14ac:dyDescent="0.3">
      <c r="A14" s="215" t="str">
        <f>ANALYSIS!A128</f>
        <v>Chec-kup</v>
      </c>
      <c r="B14" s="203">
        <f>ANALYSIS!B128</f>
        <v>0</v>
      </c>
      <c r="C14" s="210" t="str">
        <f>'Sigle per Analisi'!B83</f>
        <v>90% / 3 anno</v>
      </c>
      <c r="D14" s="206">
        <f>ANALYSIS!G128</f>
        <v>1</v>
      </c>
      <c r="E14" s="103">
        <f>ANALYSIS!I128</f>
        <v>1</v>
      </c>
      <c r="F14" s="103">
        <f>ANALYSIS!K128</f>
        <v>0</v>
      </c>
      <c r="G14" s="103">
        <f>ANALYSIS!L128</f>
        <v>0</v>
      </c>
      <c r="H14" s="103">
        <f>ANALYSIS!M128</f>
        <v>0</v>
      </c>
    </row>
    <row r="15" spans="1:8" s="99" customFormat="1" ht="20.149999999999999" customHeight="1" x14ac:dyDescent="0.3">
      <c r="A15" s="215" t="str">
        <f>ANALYSIS!A129</f>
        <v xml:space="preserve">Prevenzione ginecologica </v>
      </c>
      <c r="B15" s="203">
        <f>ANALYSIS!B129</f>
        <v>0</v>
      </c>
      <c r="C15" s="210" t="s">
        <v>369</v>
      </c>
      <c r="D15" s="206">
        <f>ANALYSIS!G129</f>
        <v>1</v>
      </c>
      <c r="E15" s="103">
        <f>ANALYSIS!I129</f>
        <v>1</v>
      </c>
      <c r="F15" s="103">
        <f>ANALYSIS!K129</f>
        <v>0</v>
      </c>
      <c r="G15" s="103">
        <f>ANALYSIS!L129</f>
        <v>0</v>
      </c>
      <c r="H15" s="103">
        <f>ANALYSIS!M129</f>
        <v>0</v>
      </c>
    </row>
    <row r="16" spans="1:8" s="99" customFormat="1" ht="20.149999999999999" customHeight="1" x14ac:dyDescent="0.3">
      <c r="A16" s="215" t="str">
        <f>ANALYSIS!A130</f>
        <v xml:space="preserve">Trasporto e salvataggio </v>
      </c>
      <c r="B16" s="203">
        <f>ANALYSIS!B130</f>
        <v>0</v>
      </c>
      <c r="C16" s="211" t="str">
        <f>'Sigle per Analisi'!B82</f>
        <v>50% max 30 g./anno</v>
      </c>
      <c r="D16" s="206">
        <f>ANALYSIS!G130</f>
        <v>1</v>
      </c>
      <c r="E16" s="103">
        <f>ANALYSIS!I130</f>
        <v>1</v>
      </c>
      <c r="F16" s="103">
        <f>ANALYSIS!K130</f>
        <v>0</v>
      </c>
      <c r="G16" s="103">
        <f>ANALYSIS!L130</f>
        <v>0</v>
      </c>
      <c r="H16" s="103">
        <f>ANALYSIS!M130</f>
        <v>0</v>
      </c>
    </row>
    <row r="17" spans="1:8" s="99" customFormat="1" ht="20.149999999999999" customHeight="1" x14ac:dyDescent="0.3">
      <c r="A17" s="215" t="str">
        <f>ANALYSIS!A131</f>
        <v xml:space="preserve">Medicina alternativa </v>
      </c>
      <c r="B17" s="203">
        <f>ANALYSIS!B131</f>
        <v>0</v>
      </c>
      <c r="C17" s="212" t="s">
        <v>379</v>
      </c>
      <c r="D17" s="206">
        <f>ANALYSIS!G131</f>
        <v>1</v>
      </c>
      <c r="E17" s="103">
        <f>ANALYSIS!I131</f>
        <v>1</v>
      </c>
      <c r="F17" s="103">
        <f>ANALYSIS!K131</f>
        <v>0</v>
      </c>
      <c r="G17" s="103">
        <f>ANALYSIS!L131</f>
        <v>0</v>
      </c>
      <c r="H17" s="103">
        <f>ANALYSIS!M131</f>
        <v>0</v>
      </c>
    </row>
    <row r="18" spans="1:8" s="99" customFormat="1" ht="20.149999999999999" customHeight="1" x14ac:dyDescent="0.3">
      <c r="A18" s="215" t="str">
        <f>ANALYSIS!A132</f>
        <v xml:space="preserve">Medicianli fuorilista </v>
      </c>
      <c r="B18" s="203">
        <f>ANALYSIS!B132</f>
        <v>0</v>
      </c>
      <c r="C18" s="212" t="s">
        <v>380</v>
      </c>
      <c r="D18" s="206">
        <f>ANALYSIS!G132</f>
        <v>1</v>
      </c>
      <c r="E18" s="103">
        <f>ANALYSIS!I132</f>
        <v>1</v>
      </c>
      <c r="F18" s="103">
        <f>ANALYSIS!K132</f>
        <v>0</v>
      </c>
      <c r="G18" s="103">
        <f>ANALYSIS!L132</f>
        <v>0</v>
      </c>
      <c r="H18" s="103">
        <f>ANALYSIS!M132</f>
        <v>0</v>
      </c>
    </row>
    <row r="19" spans="1:8" s="99" customFormat="1" ht="20.149999999999999" customHeight="1" thickBot="1" x14ac:dyDescent="0.35">
      <c r="A19" s="215" t="str">
        <f>ANALYSIS!A133</f>
        <v xml:space="preserve">Altro </v>
      </c>
      <c r="B19" s="204">
        <f>ANALYSIS!B133</f>
        <v>0</v>
      </c>
      <c r="C19" s="210"/>
      <c r="D19" s="207">
        <f>ANALYSIS!G133</f>
        <v>1</v>
      </c>
      <c r="E19" s="104">
        <f>ANALYSIS!I133</f>
        <v>1</v>
      </c>
      <c r="F19" s="103">
        <f>ANALYSIS!K133</f>
        <v>0</v>
      </c>
      <c r="G19" s="103">
        <f>ANALYSIS!L133</f>
        <v>0</v>
      </c>
      <c r="H19" s="103">
        <f>ANALYSIS!M133</f>
        <v>0</v>
      </c>
    </row>
    <row r="20" spans="1:8" s="99" customFormat="1" ht="6.75" customHeight="1" x14ac:dyDescent="0.3">
      <c r="A20" s="102"/>
      <c r="B20" s="197"/>
      <c r="C20" s="198"/>
      <c r="D20" s="197"/>
    </row>
    <row r="21" spans="1:8" s="2" customFormat="1" ht="20.149999999999999" customHeight="1" x14ac:dyDescent="0.3">
      <c r="A21" s="52" t="s">
        <v>385</v>
      </c>
      <c r="B21" s="100">
        <f>ANALYSIS!B113</f>
        <v>0</v>
      </c>
      <c r="D21" s="100">
        <f>ANALYSIS!D137</f>
        <v>0</v>
      </c>
      <c r="E21" s="100">
        <f>ANALYSIS!E138</f>
        <v>0</v>
      </c>
      <c r="F21" s="100">
        <f>ANALYSIS!F139</f>
        <v>0</v>
      </c>
      <c r="G21" s="100">
        <f>ANALYSIS!G140</f>
        <v>0</v>
      </c>
      <c r="H21" s="100">
        <f>ANALYSIS!H141</f>
        <v>0</v>
      </c>
    </row>
    <row r="22" spans="1:8" s="2" customFormat="1" ht="7.5" customHeight="1" x14ac:dyDescent="0.3">
      <c r="A22" s="52"/>
      <c r="B22" s="201"/>
      <c r="D22" s="201"/>
      <c r="E22" s="201"/>
      <c r="F22" s="201"/>
      <c r="G22" s="201"/>
      <c r="H22" s="201"/>
    </row>
    <row r="23" spans="1:8" ht="20.149999999999999" customHeight="1" x14ac:dyDescent="0.35">
      <c r="A23" s="5" t="s">
        <v>384</v>
      </c>
      <c r="C23" s="199">
        <f>(B21-D21)*12</f>
        <v>0</v>
      </c>
      <c r="D23" s="81">
        <f>'CM.TOT'!C58</f>
        <v>0</v>
      </c>
      <c r="E23" s="81">
        <f>'CM.TOT'!C105</f>
        <v>0</v>
      </c>
      <c r="F23" s="81">
        <f>'CM.TOT'!C154</f>
        <v>0</v>
      </c>
      <c r="G23" s="81">
        <f>'CM.TOT'!C203</f>
        <v>0</v>
      </c>
      <c r="H23" s="81">
        <f>'CM.TOT'!C252</f>
        <v>0</v>
      </c>
    </row>
    <row r="24" spans="1:8" x14ac:dyDescent="0.35">
      <c r="A24" s="5"/>
    </row>
    <row r="25" spans="1:8" x14ac:dyDescent="0.35">
      <c r="A25" s="5"/>
    </row>
    <row r="26" spans="1:8" x14ac:dyDescent="0.35">
      <c r="A26" s="5"/>
    </row>
    <row r="27" spans="1:8" x14ac:dyDescent="0.35">
      <c r="A27" s="5"/>
    </row>
    <row r="28" spans="1:8" x14ac:dyDescent="0.35">
      <c r="A28" s="5"/>
    </row>
    <row r="29" spans="1:8" x14ac:dyDescent="0.35">
      <c r="A29" s="5"/>
    </row>
    <row r="30" spans="1:8" x14ac:dyDescent="0.35">
      <c r="A30" s="5"/>
    </row>
    <row r="31" spans="1:8" x14ac:dyDescent="0.35">
      <c r="A31" s="5"/>
    </row>
    <row r="32" spans="1:8" x14ac:dyDescent="0.35">
      <c r="A32" s="5"/>
    </row>
    <row r="33" spans="1:1" x14ac:dyDescent="0.35">
      <c r="A33" s="5"/>
    </row>
    <row r="34" spans="1:1" x14ac:dyDescent="0.35">
      <c r="A34" s="5"/>
    </row>
    <row r="35" spans="1:1" x14ac:dyDescent="0.35">
      <c r="A35" s="5"/>
    </row>
    <row r="36" spans="1:1" x14ac:dyDescent="0.35">
      <c r="A36" s="5"/>
    </row>
    <row r="37" spans="1:1" x14ac:dyDescent="0.35">
      <c r="A37" s="5"/>
    </row>
    <row r="38" spans="1:1" x14ac:dyDescent="0.35">
      <c r="A38" s="5"/>
    </row>
    <row r="39" spans="1:1" x14ac:dyDescent="0.35">
      <c r="A39" s="5"/>
    </row>
    <row r="40" spans="1:1" x14ac:dyDescent="0.35">
      <c r="A40" s="5"/>
    </row>
    <row r="41" spans="1:1" x14ac:dyDescent="0.35">
      <c r="A41" s="5"/>
    </row>
    <row r="42" spans="1:1" x14ac:dyDescent="0.35">
      <c r="A42" s="5"/>
    </row>
    <row r="43" spans="1:1" x14ac:dyDescent="0.35">
      <c r="A43" s="5"/>
    </row>
    <row r="44" spans="1:1" x14ac:dyDescent="0.35">
      <c r="A44" s="5"/>
    </row>
    <row r="45" spans="1:1" x14ac:dyDescent="0.35">
      <c r="A45" s="5"/>
    </row>
    <row r="46" spans="1:1" s="2" customFormat="1" ht="13" x14ac:dyDescent="0.3"/>
    <row r="47" spans="1:1" s="2" customFormat="1" ht="13" x14ac:dyDescent="0.3"/>
    <row r="48" spans="1:1" s="2" customFormat="1" ht="13" x14ac:dyDescent="0.3"/>
    <row r="49" s="2" customFormat="1" ht="13" x14ac:dyDescent="0.3"/>
    <row r="50" s="2" customFormat="1" ht="13" x14ac:dyDescent="0.3"/>
    <row r="51" s="2" customFormat="1" ht="13" x14ac:dyDescent="0.3"/>
    <row r="52" s="2" customFormat="1" ht="13" x14ac:dyDescent="0.3"/>
    <row r="53" s="2" customFormat="1" ht="13" x14ac:dyDescent="0.3"/>
    <row r="54" s="2" customFormat="1" ht="13" x14ac:dyDescent="0.3"/>
    <row r="55" s="2" customFormat="1" ht="13" x14ac:dyDescent="0.3"/>
    <row r="56" s="2" customFormat="1" ht="13" x14ac:dyDescent="0.3"/>
    <row r="57" s="2" customFormat="1" ht="13" x14ac:dyDescent="0.3"/>
    <row r="58" s="2" customFormat="1" ht="13" x14ac:dyDescent="0.3"/>
    <row r="59" s="2" customFormat="1" ht="13" x14ac:dyDescent="0.3"/>
    <row r="60" s="2" customFormat="1" ht="13" x14ac:dyDescent="0.3"/>
    <row r="61" s="2" customFormat="1" ht="13" x14ac:dyDescent="0.3"/>
    <row r="62" s="2" customFormat="1" ht="13" x14ac:dyDescent="0.3"/>
    <row r="63" s="2" customFormat="1" ht="13" x14ac:dyDescent="0.3"/>
    <row r="64" s="2" customFormat="1" ht="13" x14ac:dyDescent="0.3"/>
    <row r="65" s="2" customFormat="1" ht="13" x14ac:dyDescent="0.3"/>
    <row r="66" s="2" customFormat="1" ht="13" x14ac:dyDescent="0.3"/>
    <row r="67" s="2" customFormat="1" ht="13" x14ac:dyDescent="0.3"/>
    <row r="68" s="2" customFormat="1" ht="13" x14ac:dyDescent="0.3"/>
    <row r="69" s="2" customFormat="1" ht="13" x14ac:dyDescent="0.3"/>
    <row r="70" s="2" customFormat="1" ht="9" customHeight="1" x14ac:dyDescent="0.3"/>
    <row r="71" s="2" customFormat="1" ht="13" x14ac:dyDescent="0.3"/>
    <row r="72" s="2" customFormat="1" ht="13" x14ac:dyDescent="0.3"/>
    <row r="73" s="2" customFormat="1" ht="13" x14ac:dyDescent="0.3"/>
    <row r="74" s="2" customFormat="1" ht="13" x14ac:dyDescent="0.3"/>
    <row r="75" s="2" customFormat="1" ht="13" x14ac:dyDescent="0.3"/>
    <row r="76" s="2" customFormat="1" ht="13" x14ac:dyDescent="0.3"/>
    <row r="77" s="2" customFormat="1" ht="13" x14ac:dyDescent="0.3"/>
    <row r="78" s="2" customFormat="1" ht="13" x14ac:dyDescent="0.3"/>
    <row r="79" s="2" customFormat="1" ht="13" x14ac:dyDescent="0.3"/>
    <row r="80" s="2" customFormat="1" ht="13" x14ac:dyDescent="0.3"/>
    <row r="81" s="2" customFormat="1" ht="13" x14ac:dyDescent="0.3"/>
    <row r="82" s="2" customFormat="1" ht="13" x14ac:dyDescent="0.3"/>
    <row r="83" s="2" customFormat="1" ht="13" x14ac:dyDescent="0.3"/>
    <row r="84" s="2" customFormat="1" ht="13" x14ac:dyDescent="0.3"/>
    <row r="85" s="2" customFormat="1" ht="13" x14ac:dyDescent="0.3"/>
    <row r="86" s="2" customFormat="1" ht="13" x14ac:dyDescent="0.3"/>
    <row r="87" s="2" customFormat="1" ht="13" x14ac:dyDescent="0.3"/>
    <row r="88" s="2" customFormat="1" ht="13" x14ac:dyDescent="0.3"/>
    <row r="89" s="2" customFormat="1" ht="13" x14ac:dyDescent="0.3"/>
    <row r="90" s="2" customFormat="1" ht="13" x14ac:dyDescent="0.3"/>
    <row r="91" s="2" customFormat="1" ht="13" x14ac:dyDescent="0.3"/>
    <row r="92" s="2" customFormat="1" ht="13" x14ac:dyDescent="0.3"/>
    <row r="93" s="2" customFormat="1" ht="13" x14ac:dyDescent="0.3"/>
    <row r="94" s="2" customFormat="1" ht="13" x14ac:dyDescent="0.3"/>
    <row r="95" s="2" customFormat="1" ht="13" x14ac:dyDescent="0.3"/>
    <row r="96" s="2" customFormat="1" ht="13" x14ac:dyDescent="0.3"/>
    <row r="97" s="2" customFormat="1" ht="13" x14ac:dyDescent="0.3"/>
    <row r="98" s="2" customFormat="1" ht="13" x14ac:dyDescent="0.3"/>
    <row r="99" s="2" customFormat="1" ht="13" x14ac:dyDescent="0.3"/>
  </sheetData>
  <mergeCells count="13">
    <mergeCell ref="A4:A5"/>
    <mergeCell ref="B4:B5"/>
    <mergeCell ref="E1:F1"/>
    <mergeCell ref="E2:F2"/>
    <mergeCell ref="G1:H1"/>
    <mergeCell ref="G2:H2"/>
    <mergeCell ref="B1:D1"/>
    <mergeCell ref="B2:D2"/>
    <mergeCell ref="D4:D5"/>
    <mergeCell ref="E4:E5"/>
    <mergeCell ref="F4:F5"/>
    <mergeCell ref="G4:G5"/>
    <mergeCell ref="H4:H5"/>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A1AD2-D429-4AD4-92B7-B6F05CB4349F}">
  <sheetPr codeName="Foglio2"/>
  <dimension ref="A1:E59"/>
  <sheetViews>
    <sheetView zoomScale="120" zoomScaleNormal="120" workbookViewId="0">
      <selection activeCell="B16" sqref="B16"/>
    </sheetView>
  </sheetViews>
  <sheetFormatPr defaultColWidth="11.453125" defaultRowHeight="12.5" x14ac:dyDescent="0.25"/>
  <cols>
    <col min="1" max="1" width="23.453125" customWidth="1"/>
    <col min="3" max="5" width="11.453125" style="6"/>
  </cols>
  <sheetData>
    <row r="1" spans="1:2" x14ac:dyDescent="0.25">
      <c r="A1" t="str">
        <f>'Calcolo LPP Cliente'!A1</f>
        <v>Soglia di entrata</v>
      </c>
      <c r="B1">
        <f>'Parametri generali'!B30</f>
        <v>22680</v>
      </c>
    </row>
    <row r="2" spans="1:2" x14ac:dyDescent="0.25">
      <c r="A2" t="str">
        <f>'Calcolo LPP Cliente'!A2</f>
        <v>Salario coordinato</v>
      </c>
      <c r="B2">
        <f>'Calcolo LPP Cliente'!B2</f>
        <v>26460</v>
      </c>
    </row>
    <row r="3" spans="1:2" x14ac:dyDescent="0.25">
      <c r="A3" t="str">
        <f>'Calcolo LPP Cliente'!A3</f>
        <v>Salario minimo coordinato</v>
      </c>
      <c r="B3">
        <f>'Calcolo LPP Cliente'!B3</f>
        <v>3780</v>
      </c>
    </row>
    <row r="4" spans="1:2" x14ac:dyDescent="0.25">
      <c r="A4" t="str">
        <f>'Calcolo LPP Cliente'!A4</f>
        <v>salario massimo coordinato</v>
      </c>
      <c r="B4">
        <f>'Calcolo LPP Cliente'!B4</f>
        <v>64260</v>
      </c>
    </row>
    <row r="5" spans="1:2" x14ac:dyDescent="0.25">
      <c r="A5" t="str">
        <f>'Calcolo LPP Cliente'!A5</f>
        <v>Salario massimo assicurato</v>
      </c>
      <c r="B5" s="6">
        <f>'Parametri generali'!B34</f>
        <v>90720</v>
      </c>
    </row>
    <row r="6" spans="1:2" x14ac:dyDescent="0.25">
      <c r="A6" t="s">
        <v>7</v>
      </c>
      <c r="B6" s="7">
        <f>'Calcolo LPP Cliente'!B6</f>
        <v>1.2500000000000001E-2</v>
      </c>
    </row>
    <row r="7" spans="1:2" x14ac:dyDescent="0.25">
      <c r="A7" t="s">
        <v>8</v>
      </c>
      <c r="B7" s="7">
        <f>'Calcolo LPP Cliente'!B7</f>
        <v>6.8000000000000005E-2</v>
      </c>
    </row>
    <row r="8" spans="1:2" x14ac:dyDescent="0.25">
      <c r="A8" t="s">
        <v>9</v>
      </c>
      <c r="B8" s="7">
        <f>'Calcolo LPP Cliente'!B8</f>
        <v>7.0000000000000007E-2</v>
      </c>
    </row>
    <row r="9" spans="1:2" x14ac:dyDescent="0.25">
      <c r="A9" t="s">
        <v>10</v>
      </c>
      <c r="B9" s="7">
        <f>'Calcolo LPP Cliente'!B9</f>
        <v>0.1</v>
      </c>
    </row>
    <row r="10" spans="1:2" x14ac:dyDescent="0.25">
      <c r="A10" t="s">
        <v>11</v>
      </c>
      <c r="B10" s="7">
        <f>'Calcolo LPP Cliente'!B10</f>
        <v>0.15</v>
      </c>
    </row>
    <row r="11" spans="1:2" x14ac:dyDescent="0.25">
      <c r="A11" t="s">
        <v>12</v>
      </c>
      <c r="B11" s="7">
        <f>'Calcolo LPP Cliente'!B11</f>
        <v>0.18</v>
      </c>
    </row>
    <row r="12" spans="1:2" x14ac:dyDescent="0.25">
      <c r="A12" t="s">
        <v>13</v>
      </c>
    </row>
    <row r="14" spans="1:2" x14ac:dyDescent="0.25">
      <c r="A14" t="s">
        <v>14</v>
      </c>
      <c r="B14" s="8">
        <f>'PRIV-VALID.'!B69</f>
        <v>0</v>
      </c>
    </row>
    <row r="15" spans="1:2" x14ac:dyDescent="0.25">
      <c r="A15" t="s">
        <v>15</v>
      </c>
      <c r="B15" s="8">
        <f>IF(B14&gt;B5,B5,B14)</f>
        <v>0</v>
      </c>
    </row>
    <row r="16" spans="1:2" x14ac:dyDescent="0.25">
      <c r="A16" t="s">
        <v>16</v>
      </c>
      <c r="B16">
        <f>IF((B15)&lt;B1,0,IF((B15-B2)&gt;B3,B15-B2,B3))</f>
        <v>0</v>
      </c>
    </row>
    <row r="18" spans="1:4" x14ac:dyDescent="0.25">
      <c r="A18" t="s">
        <v>17</v>
      </c>
    </row>
    <row r="19" spans="1:4" x14ac:dyDescent="0.25">
      <c r="A19">
        <v>25</v>
      </c>
      <c r="B19" s="7">
        <f>B8</f>
        <v>7.0000000000000007E-2</v>
      </c>
      <c r="C19" s="6">
        <f t="shared" ref="C19:C59" si="0">$B$16*B19</f>
        <v>0</v>
      </c>
      <c r="D19" s="6">
        <f>C19+(C19*B6)</f>
        <v>0</v>
      </c>
    </row>
    <row r="20" spans="1:4" x14ac:dyDescent="0.25">
      <c r="A20">
        <v>26</v>
      </c>
      <c r="B20" s="7">
        <f t="shared" ref="B20:B28" si="1">B19</f>
        <v>7.0000000000000007E-2</v>
      </c>
      <c r="C20" s="6">
        <f t="shared" si="0"/>
        <v>0</v>
      </c>
      <c r="D20" s="6">
        <f t="shared" ref="D20:D59" si="2">D19+C20+(D19*$B$6)</f>
        <v>0</v>
      </c>
    </row>
    <row r="21" spans="1:4" x14ac:dyDescent="0.25">
      <c r="A21">
        <v>27</v>
      </c>
      <c r="B21" s="7">
        <f t="shared" si="1"/>
        <v>7.0000000000000007E-2</v>
      </c>
      <c r="C21" s="6">
        <f t="shared" si="0"/>
        <v>0</v>
      </c>
      <c r="D21" s="6">
        <f t="shared" si="2"/>
        <v>0</v>
      </c>
    </row>
    <row r="22" spans="1:4" x14ac:dyDescent="0.25">
      <c r="A22">
        <v>28</v>
      </c>
      <c r="B22" s="7">
        <f t="shared" si="1"/>
        <v>7.0000000000000007E-2</v>
      </c>
      <c r="C22" s="6">
        <f t="shared" si="0"/>
        <v>0</v>
      </c>
      <c r="D22" s="6">
        <f t="shared" si="2"/>
        <v>0</v>
      </c>
    </row>
    <row r="23" spans="1:4" x14ac:dyDescent="0.25">
      <c r="A23">
        <v>29</v>
      </c>
      <c r="B23" s="7">
        <f t="shared" si="1"/>
        <v>7.0000000000000007E-2</v>
      </c>
      <c r="C23" s="6">
        <f t="shared" si="0"/>
        <v>0</v>
      </c>
      <c r="D23" s="6">
        <f t="shared" si="2"/>
        <v>0</v>
      </c>
    </row>
    <row r="24" spans="1:4" x14ac:dyDescent="0.25">
      <c r="A24">
        <v>30</v>
      </c>
      <c r="B24" s="7">
        <f t="shared" si="1"/>
        <v>7.0000000000000007E-2</v>
      </c>
      <c r="C24" s="6">
        <f t="shared" si="0"/>
        <v>0</v>
      </c>
      <c r="D24" s="6">
        <f t="shared" si="2"/>
        <v>0</v>
      </c>
    </row>
    <row r="25" spans="1:4" x14ac:dyDescent="0.25">
      <c r="A25">
        <v>31</v>
      </c>
      <c r="B25" s="7">
        <f t="shared" si="1"/>
        <v>7.0000000000000007E-2</v>
      </c>
      <c r="C25" s="6">
        <f t="shared" si="0"/>
        <v>0</v>
      </c>
      <c r="D25" s="6">
        <f t="shared" si="2"/>
        <v>0</v>
      </c>
    </row>
    <row r="26" spans="1:4" x14ac:dyDescent="0.25">
      <c r="A26">
        <v>32</v>
      </c>
      <c r="B26" s="7">
        <f t="shared" si="1"/>
        <v>7.0000000000000007E-2</v>
      </c>
      <c r="C26" s="6">
        <f t="shared" si="0"/>
        <v>0</v>
      </c>
      <c r="D26" s="6">
        <f t="shared" si="2"/>
        <v>0</v>
      </c>
    </row>
    <row r="27" spans="1:4" x14ac:dyDescent="0.25">
      <c r="A27">
        <v>33</v>
      </c>
      <c r="B27" s="7">
        <f t="shared" si="1"/>
        <v>7.0000000000000007E-2</v>
      </c>
      <c r="C27" s="6">
        <f t="shared" si="0"/>
        <v>0</v>
      </c>
      <c r="D27" s="6">
        <f t="shared" si="2"/>
        <v>0</v>
      </c>
    </row>
    <row r="28" spans="1:4" x14ac:dyDescent="0.25">
      <c r="A28">
        <v>34</v>
      </c>
      <c r="B28" s="7">
        <f t="shared" si="1"/>
        <v>7.0000000000000007E-2</v>
      </c>
      <c r="C28" s="6">
        <f t="shared" si="0"/>
        <v>0</v>
      </c>
      <c r="D28" s="6">
        <f t="shared" si="2"/>
        <v>0</v>
      </c>
    </row>
    <row r="29" spans="1:4" x14ac:dyDescent="0.25">
      <c r="A29">
        <v>35</v>
      </c>
      <c r="B29" s="7">
        <f>B9</f>
        <v>0.1</v>
      </c>
      <c r="C29" s="6">
        <f t="shared" si="0"/>
        <v>0</v>
      </c>
      <c r="D29" s="6">
        <f t="shared" si="2"/>
        <v>0</v>
      </c>
    </row>
    <row r="30" spans="1:4" x14ac:dyDescent="0.25">
      <c r="A30">
        <v>36</v>
      </c>
      <c r="B30" s="7">
        <f t="shared" ref="B30:B38" si="3">B29</f>
        <v>0.1</v>
      </c>
      <c r="C30" s="6">
        <f t="shared" si="0"/>
        <v>0</v>
      </c>
      <c r="D30" s="6">
        <f t="shared" si="2"/>
        <v>0</v>
      </c>
    </row>
    <row r="31" spans="1:4" x14ac:dyDescent="0.25">
      <c r="A31">
        <v>37</v>
      </c>
      <c r="B31" s="7">
        <f t="shared" si="3"/>
        <v>0.1</v>
      </c>
      <c r="C31" s="6">
        <f t="shared" si="0"/>
        <v>0</v>
      </c>
      <c r="D31" s="6">
        <f t="shared" si="2"/>
        <v>0</v>
      </c>
    </row>
    <row r="32" spans="1:4" x14ac:dyDescent="0.25">
      <c r="A32">
        <v>38</v>
      </c>
      <c r="B32" s="7">
        <f t="shared" si="3"/>
        <v>0.1</v>
      </c>
      <c r="C32" s="6">
        <f t="shared" si="0"/>
        <v>0</v>
      </c>
      <c r="D32" s="6">
        <f t="shared" si="2"/>
        <v>0</v>
      </c>
    </row>
    <row r="33" spans="1:4" x14ac:dyDescent="0.25">
      <c r="A33">
        <v>39</v>
      </c>
      <c r="B33" s="7">
        <f t="shared" si="3"/>
        <v>0.1</v>
      </c>
      <c r="C33" s="6">
        <f t="shared" si="0"/>
        <v>0</v>
      </c>
      <c r="D33" s="6">
        <f t="shared" si="2"/>
        <v>0</v>
      </c>
    </row>
    <row r="34" spans="1:4" x14ac:dyDescent="0.25">
      <c r="A34">
        <v>40</v>
      </c>
      <c r="B34" s="7">
        <f t="shared" si="3"/>
        <v>0.1</v>
      </c>
      <c r="C34" s="6">
        <f t="shared" si="0"/>
        <v>0</v>
      </c>
      <c r="D34" s="6">
        <f t="shared" si="2"/>
        <v>0</v>
      </c>
    </row>
    <row r="35" spans="1:4" x14ac:dyDescent="0.25">
      <c r="A35">
        <v>41</v>
      </c>
      <c r="B35" s="7">
        <f t="shared" si="3"/>
        <v>0.1</v>
      </c>
      <c r="C35" s="6">
        <f t="shared" si="0"/>
        <v>0</v>
      </c>
      <c r="D35" s="6">
        <f t="shared" si="2"/>
        <v>0</v>
      </c>
    </row>
    <row r="36" spans="1:4" x14ac:dyDescent="0.25">
      <c r="A36">
        <v>42</v>
      </c>
      <c r="B36" s="7">
        <f t="shared" si="3"/>
        <v>0.1</v>
      </c>
      <c r="C36" s="6">
        <f t="shared" si="0"/>
        <v>0</v>
      </c>
      <c r="D36" s="6">
        <f t="shared" si="2"/>
        <v>0</v>
      </c>
    </row>
    <row r="37" spans="1:4" x14ac:dyDescent="0.25">
      <c r="A37">
        <v>43</v>
      </c>
      <c r="B37" s="7">
        <f t="shared" si="3"/>
        <v>0.1</v>
      </c>
      <c r="C37" s="6">
        <f t="shared" si="0"/>
        <v>0</v>
      </c>
      <c r="D37" s="6">
        <f t="shared" si="2"/>
        <v>0</v>
      </c>
    </row>
    <row r="38" spans="1:4" x14ac:dyDescent="0.25">
      <c r="A38">
        <v>44</v>
      </c>
      <c r="B38" s="7">
        <f t="shared" si="3"/>
        <v>0.1</v>
      </c>
      <c r="C38" s="6">
        <f t="shared" si="0"/>
        <v>0</v>
      </c>
      <c r="D38" s="6">
        <f t="shared" si="2"/>
        <v>0</v>
      </c>
    </row>
    <row r="39" spans="1:4" x14ac:dyDescent="0.25">
      <c r="A39">
        <v>45</v>
      </c>
      <c r="B39" s="7">
        <f>B10</f>
        <v>0.15</v>
      </c>
      <c r="C39" s="6">
        <f t="shared" si="0"/>
        <v>0</v>
      </c>
      <c r="D39" s="6">
        <f t="shared" si="2"/>
        <v>0</v>
      </c>
    </row>
    <row r="40" spans="1:4" x14ac:dyDescent="0.25">
      <c r="A40">
        <v>46</v>
      </c>
      <c r="B40" s="7">
        <f t="shared" ref="B40:B48" si="4">B39</f>
        <v>0.15</v>
      </c>
      <c r="C40" s="6">
        <f t="shared" si="0"/>
        <v>0</v>
      </c>
      <c r="D40" s="6">
        <f t="shared" si="2"/>
        <v>0</v>
      </c>
    </row>
    <row r="41" spans="1:4" x14ac:dyDescent="0.25">
      <c r="A41">
        <v>47</v>
      </c>
      <c r="B41" s="7">
        <f t="shared" si="4"/>
        <v>0.15</v>
      </c>
      <c r="C41" s="6">
        <f t="shared" si="0"/>
        <v>0</v>
      </c>
      <c r="D41" s="6">
        <f t="shared" si="2"/>
        <v>0</v>
      </c>
    </row>
    <row r="42" spans="1:4" x14ac:dyDescent="0.25">
      <c r="A42">
        <v>48</v>
      </c>
      <c r="B42" s="7">
        <f t="shared" si="4"/>
        <v>0.15</v>
      </c>
      <c r="C42" s="6">
        <f t="shared" si="0"/>
        <v>0</v>
      </c>
      <c r="D42" s="6">
        <f t="shared" si="2"/>
        <v>0</v>
      </c>
    </row>
    <row r="43" spans="1:4" x14ac:dyDescent="0.25">
      <c r="A43">
        <v>49</v>
      </c>
      <c r="B43" s="7">
        <f t="shared" si="4"/>
        <v>0.15</v>
      </c>
      <c r="C43" s="6">
        <f t="shared" si="0"/>
        <v>0</v>
      </c>
      <c r="D43" s="6">
        <f t="shared" si="2"/>
        <v>0</v>
      </c>
    </row>
    <row r="44" spans="1:4" x14ac:dyDescent="0.25">
      <c r="A44">
        <v>50</v>
      </c>
      <c r="B44" s="7">
        <f t="shared" si="4"/>
        <v>0.15</v>
      </c>
      <c r="C44" s="6">
        <f t="shared" si="0"/>
        <v>0</v>
      </c>
      <c r="D44" s="6">
        <f t="shared" si="2"/>
        <v>0</v>
      </c>
    </row>
    <row r="45" spans="1:4" x14ac:dyDescent="0.25">
      <c r="A45">
        <v>51</v>
      </c>
      <c r="B45" s="7">
        <f t="shared" si="4"/>
        <v>0.15</v>
      </c>
      <c r="C45" s="6">
        <f t="shared" si="0"/>
        <v>0</v>
      </c>
      <c r="D45" s="6">
        <f t="shared" si="2"/>
        <v>0</v>
      </c>
    </row>
    <row r="46" spans="1:4" x14ac:dyDescent="0.25">
      <c r="A46">
        <v>52</v>
      </c>
      <c r="B46" s="7">
        <f t="shared" si="4"/>
        <v>0.15</v>
      </c>
      <c r="C46" s="6">
        <f t="shared" si="0"/>
        <v>0</v>
      </c>
      <c r="D46" s="6">
        <f t="shared" si="2"/>
        <v>0</v>
      </c>
    </row>
    <row r="47" spans="1:4" x14ac:dyDescent="0.25">
      <c r="A47">
        <v>53</v>
      </c>
      <c r="B47" s="7">
        <f t="shared" si="4"/>
        <v>0.15</v>
      </c>
      <c r="C47" s="6">
        <f t="shared" si="0"/>
        <v>0</v>
      </c>
      <c r="D47" s="6">
        <f t="shared" si="2"/>
        <v>0</v>
      </c>
    </row>
    <row r="48" spans="1:4" x14ac:dyDescent="0.25">
      <c r="A48">
        <v>54</v>
      </c>
      <c r="B48" s="7">
        <f t="shared" si="4"/>
        <v>0.15</v>
      </c>
      <c r="C48" s="6">
        <f t="shared" si="0"/>
        <v>0</v>
      </c>
      <c r="D48" s="6">
        <f t="shared" si="2"/>
        <v>0</v>
      </c>
    </row>
    <row r="49" spans="1:5" x14ac:dyDescent="0.25">
      <c r="A49">
        <v>55</v>
      </c>
      <c r="B49" s="7">
        <f>B11</f>
        <v>0.18</v>
      </c>
      <c r="C49" s="6">
        <f t="shared" si="0"/>
        <v>0</v>
      </c>
      <c r="D49" s="6">
        <f t="shared" si="2"/>
        <v>0</v>
      </c>
    </row>
    <row r="50" spans="1:5" x14ac:dyDescent="0.25">
      <c r="A50">
        <v>56</v>
      </c>
      <c r="B50" s="7">
        <f t="shared" ref="B50:B59" si="5">B49</f>
        <v>0.18</v>
      </c>
      <c r="C50" s="6">
        <f t="shared" si="0"/>
        <v>0</v>
      </c>
      <c r="D50" s="6">
        <f t="shared" si="2"/>
        <v>0</v>
      </c>
    </row>
    <row r="51" spans="1:5" x14ac:dyDescent="0.25">
      <c r="A51">
        <v>57</v>
      </c>
      <c r="B51" s="7">
        <f t="shared" si="5"/>
        <v>0.18</v>
      </c>
      <c r="C51" s="6">
        <f t="shared" si="0"/>
        <v>0</v>
      </c>
      <c r="D51" s="6">
        <f t="shared" si="2"/>
        <v>0</v>
      </c>
    </row>
    <row r="52" spans="1:5" x14ac:dyDescent="0.25">
      <c r="A52">
        <v>58</v>
      </c>
      <c r="B52" s="7">
        <f t="shared" si="5"/>
        <v>0.18</v>
      </c>
      <c r="C52" s="6">
        <f t="shared" si="0"/>
        <v>0</v>
      </c>
      <c r="D52" s="6">
        <f t="shared" si="2"/>
        <v>0</v>
      </c>
    </row>
    <row r="53" spans="1:5" x14ac:dyDescent="0.25">
      <c r="A53">
        <v>59</v>
      </c>
      <c r="B53" s="7">
        <f t="shared" si="5"/>
        <v>0.18</v>
      </c>
      <c r="C53" s="6">
        <f t="shared" si="0"/>
        <v>0</v>
      </c>
      <c r="D53" s="6">
        <f t="shared" si="2"/>
        <v>0</v>
      </c>
    </row>
    <row r="54" spans="1:5" x14ac:dyDescent="0.25">
      <c r="A54">
        <v>60</v>
      </c>
      <c r="B54" s="7">
        <f t="shared" si="5"/>
        <v>0.18</v>
      </c>
      <c r="C54" s="6">
        <f t="shared" si="0"/>
        <v>0</v>
      </c>
      <c r="D54" s="6">
        <f t="shared" si="2"/>
        <v>0</v>
      </c>
    </row>
    <row r="55" spans="1:5" x14ac:dyDescent="0.25">
      <c r="A55">
        <v>61</v>
      </c>
      <c r="B55" s="7">
        <f t="shared" si="5"/>
        <v>0.18</v>
      </c>
      <c r="C55" s="6">
        <f t="shared" si="0"/>
        <v>0</v>
      </c>
      <c r="D55" s="6">
        <f t="shared" si="2"/>
        <v>0</v>
      </c>
    </row>
    <row r="56" spans="1:5" x14ac:dyDescent="0.25">
      <c r="A56">
        <v>62</v>
      </c>
      <c r="B56" s="7">
        <f t="shared" si="5"/>
        <v>0.18</v>
      </c>
      <c r="C56" s="6">
        <f t="shared" si="0"/>
        <v>0</v>
      </c>
      <c r="D56" s="6">
        <f t="shared" si="2"/>
        <v>0</v>
      </c>
    </row>
    <row r="57" spans="1:5" x14ac:dyDescent="0.25">
      <c r="A57">
        <v>63</v>
      </c>
      <c r="B57" s="7">
        <f t="shared" si="5"/>
        <v>0.18</v>
      </c>
      <c r="C57" s="6">
        <f t="shared" si="0"/>
        <v>0</v>
      </c>
      <c r="D57" s="6">
        <f t="shared" si="2"/>
        <v>0</v>
      </c>
    </row>
    <row r="58" spans="1:5" x14ac:dyDescent="0.25">
      <c r="A58">
        <v>64</v>
      </c>
      <c r="B58" s="7">
        <f t="shared" si="5"/>
        <v>0.18</v>
      </c>
      <c r="C58" s="6">
        <f t="shared" si="0"/>
        <v>0</v>
      </c>
      <c r="D58" s="6">
        <f t="shared" si="2"/>
        <v>0</v>
      </c>
    </row>
    <row r="59" spans="1:5" x14ac:dyDescent="0.25">
      <c r="A59">
        <v>65</v>
      </c>
      <c r="B59" s="7">
        <f t="shared" si="5"/>
        <v>0.18</v>
      </c>
      <c r="C59" s="6">
        <f t="shared" si="0"/>
        <v>0</v>
      </c>
      <c r="D59" s="6">
        <f t="shared" si="2"/>
        <v>0</v>
      </c>
      <c r="E59" s="6">
        <f>D59*B7</f>
        <v>0</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Roman,Normale"&amp;12&amp;A</oddHeader>
    <oddFooter>&amp;C&amp;"Times New Roman,Normale"&amp;12Pagina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853FB-ECBB-4239-947C-400528E6C21E}">
  <dimension ref="A1:I92"/>
  <sheetViews>
    <sheetView topLeftCell="A11" workbookViewId="0">
      <selection activeCell="F34" sqref="F34"/>
    </sheetView>
  </sheetViews>
  <sheetFormatPr defaultColWidth="9.7265625" defaultRowHeight="15.5" x14ac:dyDescent="0.35"/>
  <cols>
    <col min="1" max="1" width="32" style="1" customWidth="1"/>
    <col min="2" max="3" width="24.26953125" style="1" customWidth="1"/>
    <col min="4" max="4" width="19.26953125" style="1" customWidth="1"/>
    <col min="5" max="16384" width="9.7265625" style="1"/>
  </cols>
  <sheetData>
    <row r="1" spans="1:4" s="2" customFormat="1" ht="13" x14ac:dyDescent="0.3">
      <c r="A1" s="50" t="s">
        <v>31</v>
      </c>
      <c r="B1" s="910">
        <f>'PRIV-VALID.'!B4</f>
        <v>0</v>
      </c>
      <c r="C1" s="910"/>
      <c r="D1" s="910"/>
    </row>
    <row r="2" spans="1:4" s="2" customFormat="1" ht="13" x14ac:dyDescent="0.3">
      <c r="A2" s="50" t="s">
        <v>33</v>
      </c>
      <c r="B2" s="910" t="s">
        <v>196</v>
      </c>
      <c r="C2" s="910"/>
      <c r="D2" s="910"/>
    </row>
    <row r="3" spans="1:4" s="2" customFormat="1" ht="13" x14ac:dyDescent="0.3">
      <c r="A3" s="51" t="s">
        <v>32</v>
      </c>
      <c r="B3" s="910" t="s">
        <v>70</v>
      </c>
      <c r="C3" s="910"/>
      <c r="D3" s="910"/>
    </row>
    <row r="4" spans="1:4" s="2" customFormat="1" ht="13" x14ac:dyDescent="0.3">
      <c r="A4" s="50" t="s">
        <v>2</v>
      </c>
      <c r="B4" s="911">
        <f ca="1">NOW()</f>
        <v>45680.292758449075</v>
      </c>
      <c r="C4" s="911"/>
      <c r="D4" s="911"/>
    </row>
    <row r="5" spans="1:4" s="2" customFormat="1" ht="13" x14ac:dyDescent="0.3">
      <c r="A5" s="52"/>
    </row>
    <row r="6" spans="1:4" s="2" customFormat="1" ht="13" x14ac:dyDescent="0.3">
      <c r="A6" s="2" t="s">
        <v>98</v>
      </c>
      <c r="B6" s="53">
        <f>'PRIV-VALID.'!B14*'PRIV-VALID.'!B22</f>
        <v>0</v>
      </c>
      <c r="C6" s="53"/>
    </row>
    <row r="7" spans="1:4" s="2" customFormat="1" ht="13" x14ac:dyDescent="0.3">
      <c r="A7" s="2" t="s">
        <v>99</v>
      </c>
      <c r="B7" s="53">
        <f>'PRIV-VALID.'!B14*'PRIV-VALID.'!B23</f>
        <v>0</v>
      </c>
      <c r="C7" s="53"/>
    </row>
    <row r="8" spans="1:4" s="2" customFormat="1" ht="13" x14ac:dyDescent="0.3">
      <c r="A8" s="2" t="s">
        <v>100</v>
      </c>
      <c r="B8" s="53">
        <f>'PRIV-VALID.'!B14*'PRIV-VALID.'!B24</f>
        <v>0</v>
      </c>
      <c r="C8" s="53"/>
    </row>
    <row r="9" spans="1:4" s="2" customFormat="1" ht="13" x14ac:dyDescent="0.3">
      <c r="A9" s="2" t="s">
        <v>101</v>
      </c>
      <c r="B9" s="53">
        <f>'PRIV-VALID.'!B25/44*'PRIV-VALID.'!B27</f>
        <v>1260</v>
      </c>
      <c r="C9" s="53"/>
    </row>
    <row r="10" spans="1:4" s="2" customFormat="1" ht="13" x14ac:dyDescent="0.3">
      <c r="A10" s="54" t="s">
        <v>102</v>
      </c>
      <c r="B10" s="55">
        <f>B9*12</f>
        <v>15120</v>
      </c>
      <c r="C10" s="55"/>
    </row>
    <row r="11" spans="1:4" s="2" customFormat="1" ht="33.65" customHeight="1" x14ac:dyDescent="0.3">
      <c r="A11" s="56" t="s">
        <v>103</v>
      </c>
      <c r="B11" s="55">
        <f>'PRIV-VALID.'!B26/44*'PRIV-VALID.'!B27*12</f>
        <v>15120</v>
      </c>
      <c r="C11" s="55"/>
    </row>
    <row r="12" spans="1:4" s="2" customFormat="1" ht="13" x14ac:dyDescent="0.3">
      <c r="A12" s="2" t="s">
        <v>104</v>
      </c>
      <c r="B12" s="53">
        <f>B10*0.4</f>
        <v>6048</v>
      </c>
      <c r="C12" s="53"/>
    </row>
    <row r="13" spans="1:4" s="2" customFormat="1" ht="13" x14ac:dyDescent="0.3">
      <c r="A13" s="54" t="s">
        <v>105</v>
      </c>
      <c r="B13" s="55">
        <f>B12*'PRIV-VALID.'!B12</f>
        <v>0</v>
      </c>
      <c r="C13" s="55"/>
    </row>
    <row r="14" spans="1:4" s="2" customFormat="1" ht="13" x14ac:dyDescent="0.3">
      <c r="A14" s="2" t="s">
        <v>106</v>
      </c>
      <c r="B14" s="53">
        <f>'PRIV-VALID.'!B28*0.2</f>
        <v>0</v>
      </c>
      <c r="C14" s="53"/>
    </row>
    <row r="15" spans="1:4" s="2" customFormat="1" ht="13" x14ac:dyDescent="0.3">
      <c r="A15" s="54" t="s">
        <v>107</v>
      </c>
      <c r="B15" s="55">
        <f>B14*'PRIV-VALID.'!B12</f>
        <v>0</v>
      </c>
      <c r="C15" s="55"/>
    </row>
    <row r="16" spans="1:4" s="2" customFormat="1" ht="13" x14ac:dyDescent="0.3">
      <c r="A16" s="2" t="s">
        <v>108</v>
      </c>
      <c r="B16" s="53">
        <f>B10*0.8*'PRIV-VALID.'!B87</f>
        <v>0</v>
      </c>
      <c r="C16" s="53"/>
    </row>
    <row r="17" spans="1:4" s="2" customFormat="1" ht="13" x14ac:dyDescent="0.3">
      <c r="A17" s="54" t="s">
        <v>109</v>
      </c>
      <c r="B17" s="53">
        <f>B16*'PRIV-VALID.'!B13</f>
        <v>0</v>
      </c>
      <c r="C17" s="53"/>
    </row>
    <row r="18" spans="1:4" s="2" customFormat="1" ht="13" x14ac:dyDescent="0.3">
      <c r="A18" s="2" t="s">
        <v>110</v>
      </c>
      <c r="B18" s="53">
        <f>'PRIV-VALID.'!B28*0.6*'PRIV-VALID.'!B87</f>
        <v>0</v>
      </c>
      <c r="C18" s="53"/>
    </row>
    <row r="19" spans="1:4" s="2" customFormat="1" ht="13" x14ac:dyDescent="0.3">
      <c r="A19" s="2" t="s">
        <v>111</v>
      </c>
      <c r="B19" s="53">
        <f>IF(ANALYSIS!B46='Sigle per Analisi'!B22,'PRIV-VALID.'!B14*0.4*'PRIV-VALID.'!B87,0)</f>
        <v>0</v>
      </c>
      <c r="C19" s="53"/>
    </row>
    <row r="20" spans="1:4" s="2" customFormat="1" ht="13" x14ac:dyDescent="0.3">
      <c r="A20" s="2" t="s">
        <v>112</v>
      </c>
      <c r="B20" s="53">
        <f>B19*'PRIV-VALID.'!B13</f>
        <v>0</v>
      </c>
      <c r="C20" s="53"/>
    </row>
    <row r="21" spans="1:4" s="2" customFormat="1" ht="13" x14ac:dyDescent="0.3">
      <c r="A21" s="2" t="s">
        <v>113</v>
      </c>
      <c r="B21" s="53">
        <f>'PRIV-VALID.'!B14*0.15*'PRIV-VALID.'!B12*'PRIV-VALID.'!B87</f>
        <v>0</v>
      </c>
      <c r="C21" s="53"/>
    </row>
    <row r="22" spans="1:4" s="2" customFormat="1" ht="13" x14ac:dyDescent="0.3">
      <c r="A22" s="57" t="s">
        <v>114</v>
      </c>
      <c r="B22" s="58">
        <f>'PRIV-VALID.'!B14*0.9*'PRIV-VALID.'!B87</f>
        <v>0</v>
      </c>
      <c r="C22" s="58"/>
    </row>
    <row r="23" spans="1:4" s="2" customFormat="1" ht="13" x14ac:dyDescent="0.3">
      <c r="A23" s="2" t="s">
        <v>115</v>
      </c>
      <c r="B23" s="53">
        <f>(B13+B15+B16+B18+B19+B21)*'PRIV-VALID.'!B87</f>
        <v>0</v>
      </c>
      <c r="C23" s="53"/>
      <c r="D23" s="53">
        <f>IF(B23&gt;B22,B22,B23)</f>
        <v>0</v>
      </c>
    </row>
    <row r="24" spans="1:4" s="2" customFormat="1" ht="13" x14ac:dyDescent="0.3">
      <c r="A24" s="2" t="s">
        <v>116</v>
      </c>
      <c r="B24" s="53">
        <f>(B16+B18+B19)*'PRIV-VALID.'!B87</f>
        <v>0</v>
      </c>
      <c r="C24" s="53"/>
      <c r="D24" s="53">
        <f>IF(B24&gt;B22,B22,B24)</f>
        <v>0</v>
      </c>
    </row>
    <row r="25" spans="1:4" s="2" customFormat="1" ht="13" x14ac:dyDescent="0.3"/>
    <row r="26" spans="1:4" s="2" customFormat="1" ht="13" x14ac:dyDescent="0.3">
      <c r="A26" s="59" t="s">
        <v>450</v>
      </c>
      <c r="B26" t="s">
        <v>451</v>
      </c>
      <c r="C26" s="59" t="s">
        <v>453</v>
      </c>
      <c r="D26" t="s">
        <v>452</v>
      </c>
    </row>
    <row r="27" spans="1:4" s="2" customFormat="1" ht="13" x14ac:dyDescent="0.3">
      <c r="A27" s="59" t="s">
        <v>440</v>
      </c>
      <c r="B27" s="60" t="e">
        <f ca="1">'PRIV-VALID.'!B15*B55</f>
        <v>#VALUE!</v>
      </c>
      <c r="C27" s="60"/>
      <c r="D27" s="60">
        <v>0</v>
      </c>
    </row>
    <row r="28" spans="1:4" s="2" customFormat="1" ht="13" x14ac:dyDescent="0.3">
      <c r="A28" t="s">
        <v>441</v>
      </c>
      <c r="B28" s="60" t="e">
        <f ca="1">B6*B55</f>
        <v>#VALUE!</v>
      </c>
      <c r="C28" s="60"/>
      <c r="D28" s="60" t="e">
        <f ca="1">B27-B28</f>
        <v>#VALUE!</v>
      </c>
    </row>
    <row r="29" spans="1:4" s="2" customFormat="1" ht="13" x14ac:dyDescent="0.3">
      <c r="A29" t="s">
        <v>444</v>
      </c>
      <c r="B29" s="60" t="e">
        <f ca="1">B10*'Parametri generali'!B27+B13*'Parametri generali'!B27+'PRIV-VALID.'!B28+B15*B55</f>
        <v>#VALUE!</v>
      </c>
      <c r="C29" s="60">
        <f>'PRIV-VALID.'!B41</f>
        <v>0</v>
      </c>
      <c r="D29" s="60" t="e">
        <f ca="1">B27-B29-C29</f>
        <v>#VALUE!</v>
      </c>
    </row>
    <row r="30" spans="1:4" s="2" customFormat="1" ht="13" x14ac:dyDescent="0.3">
      <c r="A30" s="59" t="s">
        <v>443</v>
      </c>
      <c r="B30" s="60" t="e">
        <f ca="1">B10*'Parametri generali'!B27+'PRIV-VALID.'!B28*B55</f>
        <v>#VALUE!</v>
      </c>
      <c r="C30" s="60">
        <f>'PRIV-VALID.'!B41</f>
        <v>0</v>
      </c>
      <c r="D30" s="60" t="e">
        <f ca="1">B27-B30-C30</f>
        <v>#VALUE!</v>
      </c>
    </row>
    <row r="31" spans="1:4" s="2" customFormat="1" ht="13" x14ac:dyDescent="0.3"/>
    <row r="32" spans="1:4" s="2" customFormat="1" ht="13" x14ac:dyDescent="0.3">
      <c r="A32" s="59" t="s">
        <v>121</v>
      </c>
      <c r="B32" t="s">
        <v>451</v>
      </c>
      <c r="C32" s="59"/>
      <c r="D32" t="s">
        <v>452</v>
      </c>
    </row>
    <row r="33" spans="1:9" s="2" customFormat="1" ht="13" x14ac:dyDescent="0.3">
      <c r="A33" s="59" t="s">
        <v>440</v>
      </c>
      <c r="B33" s="60">
        <f>'PRIV-VALID.'!B71</f>
        <v>0</v>
      </c>
      <c r="C33" s="60"/>
      <c r="D33" s="59">
        <v>0</v>
      </c>
    </row>
    <row r="34" spans="1:9" s="2" customFormat="1" ht="13" x14ac:dyDescent="0.3">
      <c r="A34" t="s">
        <v>445</v>
      </c>
      <c r="B34" s="60" t="e">
        <f ca="1">(B16+B13+B18+B15*B55)*'PRIV-VALID.'!B87</f>
        <v>#VALUE!</v>
      </c>
      <c r="C34" s="60"/>
      <c r="D34" s="60" t="e">
        <f ca="1">B33-B34</f>
        <v>#VALUE!</v>
      </c>
    </row>
    <row r="35" spans="1:9" s="2" customFormat="1" ht="13" x14ac:dyDescent="0.3">
      <c r="A35" s="59" t="s">
        <v>446</v>
      </c>
      <c r="B35" s="60" t="e">
        <f ca="1">B17+B18*B55</f>
        <v>#VALUE!</v>
      </c>
      <c r="C35" s="60"/>
      <c r="D35" s="60" t="e">
        <f ca="1">B33-B35</f>
        <v>#VALUE!</v>
      </c>
    </row>
    <row r="36" spans="1:9" s="2" customFormat="1" ht="13" x14ac:dyDescent="0.3"/>
    <row r="37" spans="1:9" s="2" customFormat="1" ht="13" x14ac:dyDescent="0.3">
      <c r="A37" s="59" t="s">
        <v>124</v>
      </c>
      <c r="B37" t="s">
        <v>451</v>
      </c>
      <c r="C37" s="59"/>
      <c r="D37" t="s">
        <v>452</v>
      </c>
    </row>
    <row r="38" spans="1:9" s="2" customFormat="1" ht="13" x14ac:dyDescent="0.3">
      <c r="A38" s="59" t="s">
        <v>440</v>
      </c>
      <c r="B38" s="60" t="e">
        <f ca="1">'PRIV-VALID.'!B15*B55</f>
        <v>#VALUE!</v>
      </c>
      <c r="C38" s="60"/>
      <c r="D38" s="59">
        <v>0</v>
      </c>
    </row>
    <row r="39" spans="1:9" s="2" customFormat="1" ht="13" x14ac:dyDescent="0.3">
      <c r="A39" t="s">
        <v>442</v>
      </c>
      <c r="B39" s="60" t="e">
        <f ca="1">B7*B55</f>
        <v>#VALUE!</v>
      </c>
      <c r="C39" s="60"/>
      <c r="D39" s="60" t="e">
        <f ca="1">B38-B39</f>
        <v>#VALUE!</v>
      </c>
    </row>
    <row r="40" spans="1:9" s="2" customFormat="1" ht="13" x14ac:dyDescent="0.3">
      <c r="A40" s="59" t="s">
        <v>447</v>
      </c>
      <c r="B40" s="60" t="e">
        <f ca="1">B8*B55</f>
        <v>#VALUE!</v>
      </c>
      <c r="C40" s="60"/>
      <c r="D40" s="60" t="e">
        <f ca="1">B38-B40</f>
        <v>#VALUE!</v>
      </c>
    </row>
    <row r="41" spans="1:9" s="2" customFormat="1" ht="13" x14ac:dyDescent="0.3">
      <c r="B41" s="53"/>
      <c r="C41" s="53"/>
      <c r="D41" s="53"/>
    </row>
    <row r="42" spans="1:9" s="2" customFormat="1" ht="13" x14ac:dyDescent="0.3">
      <c r="A42" s="59" t="s">
        <v>127</v>
      </c>
      <c r="B42" t="s">
        <v>451</v>
      </c>
      <c r="C42" s="60"/>
      <c r="D42" t="s">
        <v>452</v>
      </c>
      <c r="H42" s="61"/>
      <c r="I42" s="61"/>
    </row>
    <row r="43" spans="1:9" s="2" customFormat="1" ht="13" x14ac:dyDescent="0.3">
      <c r="A43" s="59" t="s">
        <v>440</v>
      </c>
      <c r="B43" s="60">
        <f>'PRIV-VALID.'!B71</f>
        <v>0</v>
      </c>
      <c r="C43" s="60"/>
      <c r="D43" s="60">
        <v>0</v>
      </c>
    </row>
    <row r="44" spans="1:9" s="2" customFormat="1" ht="13" x14ac:dyDescent="0.3">
      <c r="A44" t="s">
        <v>445</v>
      </c>
      <c r="B44" s="60" t="e">
        <f ca="1">D23*B55*'PRIV-VALID.'!B87</f>
        <v>#VALUE!</v>
      </c>
      <c r="C44" s="60"/>
      <c r="D44" s="60" t="e">
        <f ca="1">B43-B44</f>
        <v>#VALUE!</v>
      </c>
    </row>
    <row r="45" spans="1:9" s="2" customFormat="1" ht="13" x14ac:dyDescent="0.3">
      <c r="A45" s="59" t="s">
        <v>446</v>
      </c>
      <c r="B45" s="60" t="e">
        <f ca="1">IF(B17+B20+B18*B55&gt;D24,D24*'PRIV-VALID.'!B87,B17+B20+B18*B55*'PRIV-VALID.'!B87)</f>
        <v>#VALUE!</v>
      </c>
      <c r="C45" s="60"/>
      <c r="D45" s="60" t="e">
        <f ca="1">B43-B45</f>
        <v>#VALUE!</v>
      </c>
    </row>
    <row r="46" spans="1:9" s="2" customFormat="1" ht="13" x14ac:dyDescent="0.3"/>
    <row r="47" spans="1:9" s="2" customFormat="1" ht="13" x14ac:dyDescent="0.3">
      <c r="A47" s="59" t="s">
        <v>130</v>
      </c>
      <c r="B47" t="s">
        <v>451</v>
      </c>
      <c r="C47" s="59" t="s">
        <v>453</v>
      </c>
      <c r="D47" t="s">
        <v>452</v>
      </c>
    </row>
    <row r="48" spans="1:9" s="2" customFormat="1" ht="13" x14ac:dyDescent="0.3">
      <c r="A48" s="59" t="s">
        <v>440</v>
      </c>
      <c r="B48" s="60" t="e">
        <f ca="1">B38*B55</f>
        <v>#VALUE!</v>
      </c>
      <c r="C48" s="60"/>
      <c r="D48" s="59">
        <v>0</v>
      </c>
    </row>
    <row r="49" spans="1:7" s="2" customFormat="1" ht="13" x14ac:dyDescent="0.3">
      <c r="A49" s="62" t="s">
        <v>448</v>
      </c>
      <c r="B49" s="63" t="e">
        <f ca="1">B10+'PRIV-VALID.'!B29*B55</f>
        <v>#VALUE!</v>
      </c>
      <c r="C49" s="63">
        <f ca="1">'PRIV-VALID.'!B42/100*6.8</f>
        <v>0</v>
      </c>
      <c r="D49" s="63" t="e">
        <f ca="1">B48-B49-C49</f>
        <v>#VALUE!</v>
      </c>
    </row>
    <row r="50" spans="1:7" s="2" customFormat="1" ht="13" x14ac:dyDescent="0.3">
      <c r="A50" s="59" t="s">
        <v>449</v>
      </c>
      <c r="B50" s="60" t="e">
        <f ca="1">B11+'PRIV-VALID.'!B29*B55</f>
        <v>#VALUE!</v>
      </c>
      <c r="C50" s="60">
        <f ca="1">'PRIV-VALID.'!B42*6.8%</f>
        <v>0</v>
      </c>
      <c r="D50" s="60" t="e">
        <f ca="1">B48-B50-C50</f>
        <v>#VALUE!</v>
      </c>
    </row>
    <row r="51" spans="1:7" s="2" customFormat="1" ht="13" x14ac:dyDescent="0.3">
      <c r="A51" s="67"/>
      <c r="B51" s="67"/>
      <c r="C51" s="67"/>
      <c r="D51" s="67"/>
      <c r="E51" s="67"/>
      <c r="F51" s="67"/>
      <c r="G51" s="64"/>
    </row>
    <row r="52" spans="1:7" s="2" customFormat="1" ht="13" x14ac:dyDescent="0.3">
      <c r="A52" s="67"/>
      <c r="B52" s="67"/>
      <c r="C52" s="67"/>
      <c r="D52" s="67"/>
      <c r="E52" s="67"/>
      <c r="F52" s="67"/>
      <c r="G52" s="65"/>
    </row>
    <row r="53" spans="1:7" s="2" customFormat="1" ht="13" x14ac:dyDescent="0.3">
      <c r="A53" s="190" t="s">
        <v>133</v>
      </c>
      <c r="B53" s="191">
        <v>45657</v>
      </c>
      <c r="C53" s="191"/>
      <c r="D53" s="67"/>
      <c r="E53" s="67"/>
      <c r="F53" s="67"/>
      <c r="G53" s="65"/>
    </row>
    <row r="54" spans="1:7" s="2" customFormat="1" ht="13" x14ac:dyDescent="0.3">
      <c r="A54" s="190" t="s">
        <v>134</v>
      </c>
      <c r="B54" s="191">
        <f ca="1">TODAY()</f>
        <v>45680</v>
      </c>
      <c r="C54" s="191"/>
      <c r="D54" s="67"/>
      <c r="E54" s="67"/>
      <c r="F54" s="67"/>
      <c r="G54" s="65"/>
    </row>
    <row r="55" spans="1:7" s="2" customFormat="1" ht="13" x14ac:dyDescent="0.3">
      <c r="A55" s="190" t="s">
        <v>135</v>
      </c>
      <c r="B55" s="190" t="str">
        <f ca="1">IF(B54&gt;B53,B57,1)</f>
        <v>Foglio di calcolo non autorizzato. Termine scaduto</v>
      </c>
      <c r="C55" s="190"/>
      <c r="D55" s="67"/>
      <c r="E55" s="67"/>
      <c r="F55" s="67"/>
      <c r="G55" s="65"/>
    </row>
    <row r="56" spans="1:7" s="2" customFormat="1" ht="13" x14ac:dyDescent="0.3">
      <c r="A56" s="190"/>
      <c r="B56" s="190"/>
      <c r="C56" s="190"/>
      <c r="D56" s="67"/>
      <c r="E56" s="67"/>
      <c r="F56" s="67"/>
      <c r="G56" s="65"/>
    </row>
    <row r="57" spans="1:7" s="2" customFormat="1" ht="13" x14ac:dyDescent="0.3">
      <c r="A57" s="190" t="s">
        <v>363</v>
      </c>
      <c r="B57" s="190" t="s">
        <v>364</v>
      </c>
      <c r="C57" s="190"/>
      <c r="D57" s="67"/>
      <c r="E57" s="67"/>
      <c r="F57" s="67"/>
      <c r="G57" s="65"/>
    </row>
    <row r="58" spans="1:7" s="2" customFormat="1" ht="13" x14ac:dyDescent="0.3">
      <c r="A58" s="67"/>
      <c r="B58" s="67"/>
      <c r="C58" s="67"/>
      <c r="D58" s="67"/>
      <c r="E58" s="67"/>
      <c r="F58" s="67"/>
      <c r="G58" s="65"/>
    </row>
    <row r="59" spans="1:7" x14ac:dyDescent="0.35">
      <c r="A59" s="68"/>
      <c r="B59" s="68"/>
      <c r="C59" s="68"/>
      <c r="D59" s="68"/>
      <c r="E59" s="68"/>
      <c r="F59" s="68"/>
      <c r="G59" s="66"/>
    </row>
    <row r="60" spans="1:7" x14ac:dyDescent="0.35">
      <c r="A60" s="68"/>
      <c r="B60" s="68"/>
      <c r="C60" s="68"/>
      <c r="D60" s="68"/>
      <c r="E60" s="68"/>
      <c r="F60" s="68"/>
      <c r="G60" s="66"/>
    </row>
    <row r="61" spans="1:7" x14ac:dyDescent="0.35">
      <c r="A61" s="87" t="str">
        <f ca="1">IF(B55=1,"Con l'aumento della speranza di vita, il calo della natalita' e l'allungarsi del periodo di formazione dei",B55)</f>
        <v>Foglio di calcolo non autorizzato. Termine scaduto</v>
      </c>
      <c r="B61" s="68"/>
      <c r="C61" s="68"/>
      <c r="D61" s="68"/>
      <c r="E61" s="68"/>
      <c r="F61" s="68"/>
      <c r="G61" s="66"/>
    </row>
    <row r="62" spans="1:7" x14ac:dyDescent="0.35">
      <c r="A62" s="87" t="str">
        <f ca="1">IF(B55=1,"giovani, le persone di oltre 65 anni saranno a carico di un numero sempre piu' ristretto di lavoratori.",B55)</f>
        <v>Foglio di calcolo non autorizzato. Termine scaduto</v>
      </c>
      <c r="B62" s="68"/>
      <c r="C62" s="68"/>
      <c r="D62" s="68"/>
      <c r="E62" s="68"/>
      <c r="F62" s="68"/>
      <c r="G62" s="66"/>
    </row>
    <row r="63" spans="1:7" x14ac:dyDescent="0.35">
      <c r="A63" s="87"/>
      <c r="B63" s="68"/>
      <c r="C63" s="68"/>
      <c r="D63" s="68"/>
      <c r="E63" s="68"/>
      <c r="F63" s="68"/>
      <c r="G63" s="66"/>
    </row>
    <row r="64" spans="1:7" x14ac:dyDescent="0.35">
      <c r="A64" s="87" t="str">
        <f ca="1">IF(B55=1,"La calcolazione presente si basa sul diritto attuale ad una rendita di pensionamento.",B55)</f>
        <v>Foglio di calcolo non autorizzato. Termine scaduto</v>
      </c>
      <c r="B64" s="68"/>
      <c r="C64" s="68"/>
      <c r="D64" s="68"/>
      <c r="E64" s="68"/>
      <c r="F64" s="68"/>
      <c r="G64" s="66"/>
    </row>
    <row r="65" spans="1:7" x14ac:dyDescent="0.35">
      <c r="A65" s="87" t="str">
        <f ca="1">IF(B55=1,"Probabilmente, come avvertono gli organi di stampa e gli organi ufficiali delle istituzioni sociali svizzere,",B55)</f>
        <v>Foglio di calcolo non autorizzato. Termine scaduto</v>
      </c>
      <c r="B65" s="68"/>
      <c r="C65" s="68"/>
      <c r="D65" s="68"/>
      <c r="E65" s="68"/>
      <c r="F65" s="68"/>
      <c r="G65" s="66"/>
    </row>
    <row r="66" spans="1:7" x14ac:dyDescent="0.35">
      <c r="A66" s="87" t="str">
        <f ca="1">IF(B55=1,"in futuro le prestazioni dell'AVS dovranno essere drasticamente ridotte, per evitare un tracollo delle stesse.",B55)</f>
        <v>Foglio di calcolo non autorizzato. Termine scaduto</v>
      </c>
      <c r="B66" s="68"/>
      <c r="C66" s="68"/>
      <c r="D66" s="68"/>
      <c r="E66" s="68"/>
      <c r="F66" s="68"/>
      <c r="G66" s="66"/>
    </row>
    <row r="67" spans="1:7" x14ac:dyDescent="0.35">
      <c r="A67" s="87"/>
      <c r="B67" s="68"/>
      <c r="C67" s="68"/>
      <c r="D67" s="68"/>
      <c r="E67" s="68"/>
      <c r="F67" s="68"/>
      <c r="G67" s="66"/>
    </row>
    <row r="68" spans="1:7" x14ac:dyDescent="0.35">
      <c r="A68" s="87" t="str">
        <f ca="1">IF(B55=1,"Al momento attuale l'AVS e' gia' nelle cifre rosse; e si prevede per i prossimi vent'anni circa un raddoppio",B55)</f>
        <v>Foglio di calcolo non autorizzato. Termine scaduto</v>
      </c>
      <c r="B68" s="68"/>
      <c r="C68" s="68"/>
      <c r="D68" s="68"/>
      <c r="E68" s="68"/>
      <c r="F68" s="68"/>
      <c r="G68" s="66"/>
    </row>
    <row r="69" spans="1:7" x14ac:dyDescent="0.35">
      <c r="A69" s="87" t="str">
        <f ca="1">IF(B55=1,"dei pensionati in proporzione al resto della popolazione attiva.",B55)</f>
        <v>Foglio di calcolo non autorizzato. Termine scaduto</v>
      </c>
      <c r="B69" s="68"/>
      <c r="C69" s="68"/>
      <c r="D69" s="68"/>
      <c r="E69" s="68"/>
      <c r="F69" s="68"/>
      <c r="G69" s="66"/>
    </row>
    <row r="70" spans="1:7" x14ac:dyDescent="0.35">
      <c r="A70" s="87"/>
      <c r="B70" s="68"/>
      <c r="C70" s="68"/>
      <c r="D70" s="68"/>
      <c r="E70" s="68"/>
      <c r="F70" s="68"/>
      <c r="G70" s="66"/>
    </row>
    <row r="71" spans="1:7" x14ac:dyDescent="0.35">
      <c r="A71" s="87" t="s">
        <v>136</v>
      </c>
      <c r="B71" s="68"/>
      <c r="C71" s="68"/>
      <c r="D71" s="68"/>
      <c r="E71" s="68"/>
      <c r="F71" s="68"/>
      <c r="G71" s="66"/>
    </row>
    <row r="72" spans="1:7" x14ac:dyDescent="0.35">
      <c r="A72" s="87" t="s">
        <v>137</v>
      </c>
      <c r="B72" s="68"/>
      <c r="C72" s="68"/>
      <c r="D72" s="68"/>
      <c r="E72" s="68"/>
      <c r="F72" s="68"/>
      <c r="G72" s="66"/>
    </row>
    <row r="73" spans="1:7" x14ac:dyDescent="0.35">
      <c r="A73" s="87" t="s">
        <v>138</v>
      </c>
      <c r="B73" s="68"/>
      <c r="C73" s="68"/>
      <c r="D73" s="68"/>
      <c r="E73" s="68"/>
      <c r="F73" s="68"/>
      <c r="G73" s="66"/>
    </row>
    <row r="74" spans="1:7" x14ac:dyDescent="0.35">
      <c r="A74" s="69"/>
      <c r="B74" s="69"/>
      <c r="C74" s="69"/>
      <c r="D74" s="69"/>
      <c r="E74" s="68"/>
      <c r="F74" s="68"/>
      <c r="G74" s="66"/>
    </row>
    <row r="75" spans="1:7" x14ac:dyDescent="0.35">
      <c r="A75" s="69"/>
      <c r="B75" s="69"/>
      <c r="C75" s="69"/>
      <c r="D75" s="69"/>
      <c r="E75" s="69"/>
      <c r="F75" s="66"/>
      <c r="G75" s="66"/>
    </row>
    <row r="76" spans="1:7" ht="18" x14ac:dyDescent="0.4">
      <c r="A76" s="70" t="str">
        <f ca="1">IF(B55=1,"Previdenza per la Vecchiaia",B55)</f>
        <v>Foglio di calcolo non autorizzato. Termine scaduto</v>
      </c>
      <c r="B76" s="69"/>
      <c r="C76" s="69"/>
      <c r="D76" s="69"/>
      <c r="E76" s="69"/>
      <c r="F76" s="66"/>
      <c r="G76" s="66"/>
    </row>
    <row r="77" spans="1:7" x14ac:dyDescent="0.35">
      <c r="A77" s="69"/>
      <c r="B77" s="69"/>
      <c r="C77" s="69"/>
      <c r="D77" s="69"/>
      <c r="E77" s="69"/>
      <c r="F77" s="66"/>
      <c r="G77" s="66"/>
    </row>
    <row r="78" spans="1:7" x14ac:dyDescent="0.35">
      <c r="A78" s="69" t="str">
        <f ca="1">IF(B55=1,'PRIV-VALID.'!B10,B55)</f>
        <v>Foglio di calcolo non autorizzato. Termine scaduto</v>
      </c>
      <c r="B78" s="69"/>
      <c r="C78" s="69"/>
      <c r="D78" s="69"/>
      <c r="E78" s="69"/>
      <c r="F78" s="66"/>
      <c r="G78" s="66"/>
    </row>
    <row r="79" spans="1:7" x14ac:dyDescent="0.35">
      <c r="A79" s="69" t="str">
        <f ca="1">IF(B55=1,'PRIV-VALID.'!B65,B55)</f>
        <v>Foglio di calcolo non autorizzato. Termine scaduto</v>
      </c>
      <c r="B79" s="69"/>
      <c r="C79" s="69"/>
      <c r="D79" s="69"/>
      <c r="E79" s="69"/>
      <c r="F79" s="66"/>
      <c r="G79" s="66"/>
    </row>
    <row r="80" spans="1:7" x14ac:dyDescent="0.35">
      <c r="A80" s="69"/>
      <c r="B80" s="69"/>
      <c r="C80" s="69"/>
      <c r="D80" s="69"/>
      <c r="E80" s="69"/>
      <c r="F80" s="66"/>
      <c r="G80" s="66"/>
    </row>
    <row r="81" spans="1:7" x14ac:dyDescent="0.35">
      <c r="A81" s="69"/>
      <c r="B81" s="69"/>
      <c r="C81" s="69"/>
      <c r="D81" s="69"/>
      <c r="E81" s="69"/>
      <c r="F81" s="66"/>
      <c r="G81" s="66"/>
    </row>
    <row r="82" spans="1:7" x14ac:dyDescent="0.35">
      <c r="A82" s="69"/>
      <c r="B82" s="69"/>
      <c r="C82" s="69"/>
      <c r="D82" s="69"/>
      <c r="E82" s="69"/>
      <c r="F82" s="66"/>
      <c r="G82" s="66"/>
    </row>
    <row r="83" spans="1:7" x14ac:dyDescent="0.35">
      <c r="A83" s="69"/>
      <c r="B83" s="69"/>
      <c r="C83" s="69"/>
      <c r="D83" s="69"/>
      <c r="E83" s="69"/>
      <c r="F83" s="66"/>
      <c r="G83" s="66"/>
    </row>
    <row r="84" spans="1:7" x14ac:dyDescent="0.35">
      <c r="A84" s="69"/>
      <c r="B84" s="69"/>
      <c r="C84" s="69"/>
      <c r="D84" s="69"/>
      <c r="E84" s="69"/>
      <c r="F84" s="66"/>
      <c r="G84" s="66"/>
    </row>
    <row r="85" spans="1:7" x14ac:dyDescent="0.35">
      <c r="A85" s="69"/>
      <c r="B85" s="69"/>
      <c r="C85" s="69"/>
      <c r="D85" s="69"/>
      <c r="E85" s="69"/>
      <c r="F85" s="66"/>
      <c r="G85" s="66"/>
    </row>
    <row r="86" spans="1:7" x14ac:dyDescent="0.35">
      <c r="A86" s="69"/>
      <c r="B86" s="69"/>
      <c r="C86" s="69"/>
      <c r="D86" s="69"/>
      <c r="E86" s="69"/>
      <c r="F86" s="66"/>
      <c r="G86" s="66"/>
    </row>
    <row r="87" spans="1:7" x14ac:dyDescent="0.35">
      <c r="A87" s="69"/>
      <c r="B87" s="69"/>
      <c r="C87" s="69"/>
      <c r="D87" s="69"/>
      <c r="F87" s="66"/>
      <c r="G87" s="66"/>
    </row>
    <row r="88" spans="1:7" x14ac:dyDescent="0.35">
      <c r="A88" s="69"/>
      <c r="B88" s="69"/>
      <c r="C88" s="69"/>
      <c r="D88" s="69"/>
    </row>
    <row r="89" spans="1:7" x14ac:dyDescent="0.35">
      <c r="A89" s="69"/>
      <c r="B89" s="69"/>
      <c r="C89" s="69"/>
      <c r="D89" s="69"/>
    </row>
    <row r="90" spans="1:7" x14ac:dyDescent="0.35">
      <c r="A90" s="69"/>
      <c r="B90" s="69"/>
      <c r="C90" s="69"/>
      <c r="D90" s="69"/>
    </row>
    <row r="91" spans="1:7" x14ac:dyDescent="0.35">
      <c r="A91" s="69"/>
      <c r="B91" s="69"/>
      <c r="C91" s="69"/>
      <c r="D91" s="69"/>
    </row>
    <row r="92" spans="1:7" x14ac:dyDescent="0.35">
      <c r="A92" s="68"/>
      <c r="B92" s="68"/>
      <c r="C92" s="68"/>
      <c r="D92" s="68"/>
    </row>
  </sheetData>
  <mergeCells count="4">
    <mergeCell ref="B1:D1"/>
    <mergeCell ref="B2:D2"/>
    <mergeCell ref="B3:D3"/>
    <mergeCell ref="B4:D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4DF61-14B4-421B-BF9B-0EDAF7E603D8}">
  <sheetPr codeName="Foglio8"/>
  <dimension ref="A1:W100"/>
  <sheetViews>
    <sheetView topLeftCell="A4" zoomScale="120" zoomScaleNormal="120" workbookViewId="0">
      <selection activeCell="B25" sqref="B25"/>
    </sheetView>
  </sheetViews>
  <sheetFormatPr defaultColWidth="9.7265625" defaultRowHeight="15.5" x14ac:dyDescent="0.35"/>
  <cols>
    <col min="1" max="1" width="25.453125" style="1" customWidth="1"/>
    <col min="2" max="2" width="16.36328125" style="1" customWidth="1"/>
    <col min="3" max="3" width="16.08984375" style="1" customWidth="1"/>
    <col min="4" max="4" width="15" style="1" customWidth="1"/>
    <col min="5" max="5" width="2.6328125" style="1" customWidth="1"/>
    <col min="6" max="6" width="3.7265625" style="1" customWidth="1"/>
    <col min="7" max="8" width="2.90625" style="1" customWidth="1"/>
    <col min="9" max="9" width="3.1796875" style="1" customWidth="1"/>
    <col min="10" max="10" width="20.81640625" style="1" customWidth="1"/>
    <col min="11" max="11" width="13.453125" style="1" customWidth="1"/>
    <col min="12" max="12" width="15.08984375" style="1" customWidth="1"/>
    <col min="13" max="13" width="13.36328125" style="1" customWidth="1"/>
    <col min="14" max="14" width="16.81640625" style="1" customWidth="1"/>
    <col min="15" max="15" width="13.26953125" style="1" customWidth="1"/>
    <col min="16" max="16" width="11.90625" style="1" customWidth="1"/>
    <col min="17" max="17" width="9.7265625" style="1"/>
    <col min="18" max="18" width="15.6328125" style="1" customWidth="1"/>
    <col min="19" max="22" width="9.7265625" style="1"/>
    <col min="23" max="23" width="15.1796875" style="1" customWidth="1"/>
    <col min="24" max="16384" width="9.7265625" style="1"/>
  </cols>
  <sheetData>
    <row r="1" spans="1:4" s="2" customFormat="1" ht="13" x14ac:dyDescent="0.3">
      <c r="A1" s="50" t="s">
        <v>31</v>
      </c>
      <c r="B1" s="910">
        <f>'PRIV-VALID.'!B4</f>
        <v>0</v>
      </c>
      <c r="C1" s="910"/>
      <c r="D1" s="910"/>
    </row>
    <row r="2" spans="1:4" s="2" customFormat="1" ht="13" x14ac:dyDescent="0.3">
      <c r="A2" s="50" t="s">
        <v>33</v>
      </c>
      <c r="B2" s="910" t="s">
        <v>196</v>
      </c>
      <c r="C2" s="910"/>
      <c r="D2" s="910"/>
    </row>
    <row r="3" spans="1:4" s="2" customFormat="1" ht="13" x14ac:dyDescent="0.3">
      <c r="A3" s="51" t="s">
        <v>32</v>
      </c>
      <c r="B3" s="910" t="s">
        <v>70</v>
      </c>
      <c r="C3" s="910"/>
      <c r="D3" s="910"/>
    </row>
    <row r="4" spans="1:4" s="2" customFormat="1" ht="13" x14ac:dyDescent="0.3">
      <c r="A4" s="50" t="s">
        <v>2</v>
      </c>
      <c r="B4" s="911">
        <f ca="1">NOW()</f>
        <v>45680.292758449075</v>
      </c>
      <c r="C4" s="911"/>
      <c r="D4" s="911"/>
    </row>
    <row r="5" spans="1:4" s="2" customFormat="1" ht="13" x14ac:dyDescent="0.3">
      <c r="A5" s="52"/>
    </row>
    <row r="6" spans="1:4" s="2" customFormat="1" ht="13" x14ac:dyDescent="0.3">
      <c r="A6" s="2" t="s">
        <v>98</v>
      </c>
      <c r="B6" s="53">
        <f>'PRIV-VALID.'!B14*'PRIV-VALID.'!B22</f>
        <v>0</v>
      </c>
      <c r="C6" s="53"/>
    </row>
    <row r="7" spans="1:4" s="2" customFormat="1" ht="13" x14ac:dyDescent="0.3">
      <c r="A7" s="2" t="s">
        <v>99</v>
      </c>
      <c r="B7" s="53">
        <f>'PRIV-VALID.'!B14*'PRIV-VALID.'!B23</f>
        <v>0</v>
      </c>
      <c r="C7" s="53"/>
    </row>
    <row r="8" spans="1:4" s="2" customFormat="1" ht="13" x14ac:dyDescent="0.3">
      <c r="A8" s="2" t="s">
        <v>100</v>
      </c>
      <c r="B8" s="53">
        <f>'PRIV-VALID.'!B14*'PRIV-VALID.'!B24</f>
        <v>0</v>
      </c>
      <c r="C8" s="53"/>
    </row>
    <row r="9" spans="1:4" s="2" customFormat="1" ht="13" x14ac:dyDescent="0.3">
      <c r="A9" s="2" t="s">
        <v>101</v>
      </c>
      <c r="B9" s="53">
        <f>'PRIV-VALID.'!B25</f>
        <v>1260</v>
      </c>
      <c r="C9" s="53"/>
    </row>
    <row r="10" spans="1:4" s="2" customFormat="1" ht="13" x14ac:dyDescent="0.3">
      <c r="A10" s="54" t="s">
        <v>102</v>
      </c>
      <c r="B10" s="55">
        <f>B9*12</f>
        <v>15120</v>
      </c>
      <c r="C10" s="55"/>
    </row>
    <row r="11" spans="1:4" s="2" customFormat="1" ht="13" customHeight="1" x14ac:dyDescent="0.3">
      <c r="A11" s="348" t="s">
        <v>103</v>
      </c>
      <c r="B11" s="55">
        <f>'PRIV-VALID.'!B26*12</f>
        <v>15120</v>
      </c>
      <c r="C11" s="55"/>
    </row>
    <row r="12" spans="1:4" s="2" customFormat="1" ht="13" x14ac:dyDescent="0.3">
      <c r="A12" s="2" t="s">
        <v>104</v>
      </c>
      <c r="B12" s="53">
        <f>B10*0.4</f>
        <v>6048</v>
      </c>
      <c r="C12" s="53"/>
    </row>
    <row r="13" spans="1:4" s="2" customFormat="1" ht="13" x14ac:dyDescent="0.3">
      <c r="A13" s="54" t="s">
        <v>105</v>
      </c>
      <c r="B13" s="55">
        <f>B12*'PRIV-VALID.'!B12</f>
        <v>0</v>
      </c>
      <c r="C13" s="55"/>
    </row>
    <row r="14" spans="1:4" s="2" customFormat="1" ht="13" x14ac:dyDescent="0.3">
      <c r="A14" s="2" t="s">
        <v>106</v>
      </c>
      <c r="B14" s="53">
        <f>'PRIV-VALID.'!B28*0.2</f>
        <v>0</v>
      </c>
      <c r="C14" s="53"/>
    </row>
    <row r="15" spans="1:4" s="2" customFormat="1" ht="13" x14ac:dyDescent="0.3">
      <c r="A15" s="54" t="s">
        <v>107</v>
      </c>
      <c r="B15" s="55">
        <f>B14*'PRIV-VALID.'!B12</f>
        <v>0</v>
      </c>
      <c r="C15" s="55"/>
    </row>
    <row r="16" spans="1:4" s="2" customFormat="1" ht="13" x14ac:dyDescent="0.3">
      <c r="A16" s="2" t="s">
        <v>2617</v>
      </c>
      <c r="B16" s="53">
        <f>B10*0.8*'PRIV-VALID.'!B87</f>
        <v>0</v>
      </c>
      <c r="C16" s="53"/>
    </row>
    <row r="17" spans="1:23" s="2" customFormat="1" ht="13" x14ac:dyDescent="0.3">
      <c r="A17" s="54" t="s">
        <v>109</v>
      </c>
      <c r="B17" s="53">
        <f>B16</f>
        <v>0</v>
      </c>
      <c r="C17" s="53"/>
    </row>
    <row r="18" spans="1:23" s="2" customFormat="1" ht="13" x14ac:dyDescent="0.3">
      <c r="A18" s="2" t="s">
        <v>110</v>
      </c>
      <c r="B18" s="53">
        <f>'PRIV-VALID.'!B28*0.6*'PRIV-VALID.'!B88</f>
        <v>0</v>
      </c>
      <c r="C18" s="53"/>
    </row>
    <row r="19" spans="1:23" s="2" customFormat="1" ht="13" x14ac:dyDescent="0.3">
      <c r="A19" s="2" t="s">
        <v>111</v>
      </c>
      <c r="B19" s="53">
        <f>IF(ANALYSIS!B46='Sigle per Analisi'!B22,'PRIV-VALID.'!B14*0.4*'PRIV-VALID.'!B89,0)</f>
        <v>0</v>
      </c>
      <c r="C19" s="53"/>
    </row>
    <row r="20" spans="1:23" s="2" customFormat="1" ht="13" x14ac:dyDescent="0.3">
      <c r="A20" s="2" t="s">
        <v>112</v>
      </c>
      <c r="B20" s="53">
        <f>B19</f>
        <v>0</v>
      </c>
      <c r="C20" s="53"/>
    </row>
    <row r="21" spans="1:23" s="2" customFormat="1" ht="13" x14ac:dyDescent="0.3">
      <c r="A21" s="2" t="s">
        <v>113</v>
      </c>
      <c r="B21" s="53">
        <f>'PRIV-VALID.'!B14*0.15*'PRIV-VALID.'!B12</f>
        <v>0</v>
      </c>
      <c r="C21" s="53"/>
    </row>
    <row r="22" spans="1:23" s="2" customFormat="1" ht="13" x14ac:dyDescent="0.3">
      <c r="A22" s="472" t="s">
        <v>114</v>
      </c>
      <c r="B22" s="473">
        <f>'PRIV-VALID.'!B14*0.9</f>
        <v>0</v>
      </c>
      <c r="C22" s="58"/>
    </row>
    <row r="23" spans="1:23" s="2" customFormat="1" ht="13" x14ac:dyDescent="0.3">
      <c r="A23" s="2" t="s">
        <v>115</v>
      </c>
      <c r="B23" s="53">
        <f>(B13+B15+B16+B18+B19+B21)</f>
        <v>0</v>
      </c>
      <c r="C23" s="53"/>
      <c r="D23" s="53">
        <f>IF(B23&gt;B22,B22,B23)</f>
        <v>0</v>
      </c>
    </row>
    <row r="24" spans="1:23" s="2" customFormat="1" ht="13" x14ac:dyDescent="0.3">
      <c r="A24" s="2" t="s">
        <v>116</v>
      </c>
      <c r="B24" s="53">
        <f>(B16+B18+B19)</f>
        <v>0</v>
      </c>
      <c r="C24" s="53"/>
      <c r="D24" s="53">
        <f>IF(B24&gt;B22,B22,B24)</f>
        <v>0</v>
      </c>
    </row>
    <row r="25" spans="1:23" s="2" customFormat="1" ht="13" x14ac:dyDescent="0.3">
      <c r="J25" s="1253" t="s">
        <v>2618</v>
      </c>
      <c r="K25" s="1253"/>
      <c r="L25" s="1253"/>
      <c r="M25" s="1253"/>
      <c r="N25" s="1253"/>
      <c r="O25" s="1253"/>
      <c r="P25" s="1253"/>
      <c r="R25" s="1253" t="s">
        <v>2619</v>
      </c>
      <c r="S25" s="1253"/>
      <c r="T25" s="1253"/>
      <c r="U25" s="1253"/>
      <c r="V25" s="1253"/>
      <c r="W25" s="1253"/>
    </row>
    <row r="26" spans="1:23" s="2" customFormat="1" ht="13" x14ac:dyDescent="0.3">
      <c r="A26" s="59" t="str">
        <f>Traduzioni!G297</f>
        <v>Reddito in caso di Malattia</v>
      </c>
      <c r="B26" s="59" t="str">
        <f>Traduzioni!G318</f>
        <v>Redditi / Rendite 1. e 2. pilastro</v>
      </c>
      <c r="C26" s="59" t="str">
        <f>Traduzioni!G320</f>
        <v>3. pilastro</v>
      </c>
      <c r="D26" s="59" t="str">
        <f>Traduzioni!$G$319</f>
        <v>Lacune</v>
      </c>
      <c r="J26" s="347" t="str">
        <f>A26</f>
        <v>Reddito in caso di Malattia</v>
      </c>
      <c r="K26" s="347" t="str">
        <f>Traduzioni!G482</f>
        <v>AI</v>
      </c>
      <c r="L26" s="347" t="str">
        <f>Traduzioni!G493</f>
        <v>Rend. suppl. AI figli</v>
      </c>
      <c r="M26" s="347" t="str">
        <f>Traduzioni!G484</f>
        <v>LPP</v>
      </c>
      <c r="N26" s="347" t="str">
        <f>Traduzioni!G494</f>
        <v>Rend. suppl. LPP figli</v>
      </c>
      <c r="O26" s="347" t="str">
        <f>C26</f>
        <v>3. pilastro</v>
      </c>
      <c r="P26" s="347" t="str">
        <f>D26</f>
        <v>Lacune</v>
      </c>
      <c r="R26" s="347" t="str">
        <f>J26</f>
        <v>Reddito in caso di Malattia</v>
      </c>
      <c r="S26" s="347" t="str">
        <f>K26</f>
        <v>AI</v>
      </c>
      <c r="T26" s="347" t="str">
        <f>L26</f>
        <v>Rend. suppl. AI figli</v>
      </c>
      <c r="U26" s="347" t="str">
        <f>M26</f>
        <v>LPP</v>
      </c>
      <c r="V26" s="347" t="str">
        <f>N26</f>
        <v>Rend. suppl. LPP figli</v>
      </c>
      <c r="W26" s="347" t="str">
        <f>P26</f>
        <v>Lacune</v>
      </c>
    </row>
    <row r="27" spans="1:23" s="2" customFormat="1" ht="13" x14ac:dyDescent="0.3">
      <c r="A27" s="59" t="str">
        <f>Traduzioni!$G$298</f>
        <v>Fabbisogno mensile</v>
      </c>
      <c r="B27" s="60">
        <f ca="1">'PRIV-VALID.'!B15*B55</f>
        <v>0</v>
      </c>
      <c r="C27" s="60"/>
      <c r="D27" s="60">
        <v>0</v>
      </c>
      <c r="J27" s="59" t="str">
        <f>A27</f>
        <v>Fabbisogno mensile</v>
      </c>
      <c r="K27" s="351">
        <f ca="1">B27/12*B55</f>
        <v>0</v>
      </c>
      <c r="L27" s="351"/>
      <c r="M27" s="351"/>
      <c r="N27" s="351"/>
      <c r="O27" s="351"/>
      <c r="P27" s="351"/>
      <c r="R27" s="347" t="str">
        <f>J27</f>
        <v>Fabbisogno mensile</v>
      </c>
      <c r="S27" s="352">
        <f ca="1">K27</f>
        <v>0</v>
      </c>
      <c r="T27" s="352"/>
      <c r="U27" s="352"/>
      <c r="V27" s="352"/>
      <c r="W27" s="353"/>
    </row>
    <row r="28" spans="1:23" s="2" customFormat="1" ht="13" x14ac:dyDescent="0.3">
      <c r="A28" s="59" t="str">
        <f>Traduzioni!$G$299</f>
        <v>Malattia: I.G. - 720 gg.</v>
      </c>
      <c r="B28" s="60">
        <f ca="1">B6*B55</f>
        <v>0</v>
      </c>
      <c r="C28" s="60"/>
      <c r="D28" s="60">
        <f ca="1">IF((B27-B28)&lt;0,0,B27-B28)</f>
        <v>0</v>
      </c>
      <c r="J28" s="59" t="str">
        <f>A28</f>
        <v>Malattia: I.G. - 720 gg.</v>
      </c>
      <c r="K28" s="351">
        <f ca="1">B28/12</f>
        <v>0</v>
      </c>
      <c r="L28" s="351"/>
      <c r="M28" s="351"/>
      <c r="N28" s="351"/>
      <c r="O28" s="351"/>
      <c r="P28" s="351">
        <f ca="1">D28/12</f>
        <v>0</v>
      </c>
      <c r="R28" s="347" t="str">
        <f>A28</f>
        <v>Malattia: I.G. - 720 gg.</v>
      </c>
      <c r="S28" s="352">
        <f ca="1">K28</f>
        <v>0</v>
      </c>
      <c r="T28" s="352"/>
      <c r="U28" s="352"/>
      <c r="V28" s="352"/>
      <c r="W28" s="353">
        <f ca="1">IF((S27-S28)&lt;0,0,S27-S28)</f>
        <v>0</v>
      </c>
    </row>
    <row r="29" spans="1:23" s="2" customFormat="1" ht="13" x14ac:dyDescent="0.3">
      <c r="A29" s="59" t="str">
        <f>Traduzioni!$G$300</f>
        <v>Inv. con suppl. x figli &lt; 18/25 anni</v>
      </c>
      <c r="B29" s="60">
        <f ca="1">B10*'Parametri generali'!B27+B13*'Parametri generali'!B27+'PRIV-VALID.'!B28+B15*B55</f>
        <v>15120</v>
      </c>
      <c r="C29" s="60">
        <f>'PRIV-VALID.'!B41 + 'PRIV-VALID.'!B38*'PRIV-VALID.'!B40</f>
        <v>0</v>
      </c>
      <c r="D29" s="60">
        <f ca="1">IF((B27-B29)&lt;0,0,B27-B29)</f>
        <v>0</v>
      </c>
      <c r="J29" s="59" t="str">
        <f>A29</f>
        <v>Inv. con suppl. x figli &lt; 18/25 anni</v>
      </c>
      <c r="K29" s="351">
        <f ca="1">B10*'Parametri generali'!B27/12</f>
        <v>1260</v>
      </c>
      <c r="L29" s="351">
        <f ca="1">B13*'Parametri generali'!B27/12</f>
        <v>0</v>
      </c>
      <c r="M29" s="351">
        <f>'PRIV-VALID.'!B28/12</f>
        <v>0</v>
      </c>
      <c r="N29" s="351">
        <f>B15/12</f>
        <v>0</v>
      </c>
      <c r="O29" s="351">
        <f>C29/12</f>
        <v>0</v>
      </c>
      <c r="P29" s="351">
        <f ca="1">K27-K29-L29-M29-N29-O29</f>
        <v>-1260</v>
      </c>
      <c r="R29" s="347" t="str">
        <f>J29</f>
        <v>Inv. con suppl. x figli &lt; 18/25 anni</v>
      </c>
      <c r="S29" s="352">
        <f ca="1">K29</f>
        <v>1260</v>
      </c>
      <c r="T29" s="352">
        <f ca="1">L29</f>
        <v>0</v>
      </c>
      <c r="U29" s="352">
        <f>M29</f>
        <v>0</v>
      </c>
      <c r="V29" s="352">
        <f>N29</f>
        <v>0</v>
      </c>
      <c r="W29" s="353">
        <f ca="1">IF((S27-S29-U29-T29-V29)&lt;0,0,S27-S29-U29-T29-V29)</f>
        <v>0</v>
      </c>
    </row>
    <row r="30" spans="1:23" s="2" customFormat="1" ht="13" x14ac:dyDescent="0.3">
      <c r="A30" s="59" t="str">
        <f>Traduzioni!$G$301</f>
        <v>Inv. (senza Figli)</v>
      </c>
      <c r="B30" s="60">
        <f ca="1">B10*'Parametri generali'!B27+'PRIV-VALID.'!B28*B55</f>
        <v>15120</v>
      </c>
      <c r="C30" s="60">
        <f>'PRIV-VALID.'!B41+ 'PRIV-VALID.'!B38*'PRIV-VALID.'!B40</f>
        <v>0</v>
      </c>
      <c r="D30" s="60">
        <f ca="1">IF((B27-B30)&lt;0,0,B27-B30)</f>
        <v>0</v>
      </c>
      <c r="J30" s="59" t="str">
        <f>A30</f>
        <v>Inv. (senza Figli)</v>
      </c>
      <c r="K30" s="351">
        <f ca="1">B10*'Parametri generali'!B27/12</f>
        <v>1260</v>
      </c>
      <c r="L30" s="351"/>
      <c r="M30" s="351">
        <f>'PRIV-VALID.'!B28/12</f>
        <v>0</v>
      </c>
      <c r="N30" s="351"/>
      <c r="O30" s="351">
        <f>C30/12</f>
        <v>0</v>
      </c>
      <c r="P30" s="351">
        <f ca="1">K27-K30-L30-M30-N30-O30</f>
        <v>-1260</v>
      </c>
      <c r="R30" s="347" t="str">
        <f>J30</f>
        <v>Inv. (senza Figli)</v>
      </c>
      <c r="S30" s="352">
        <f ca="1">K30</f>
        <v>1260</v>
      </c>
      <c r="T30" s="352"/>
      <c r="U30" s="352">
        <f>M30</f>
        <v>0</v>
      </c>
      <c r="V30" s="352"/>
      <c r="W30" s="353">
        <f ca="1">IF((S27-S30-U30)&lt;0,0,S27-S30-U30)</f>
        <v>0</v>
      </c>
    </row>
    <row r="31" spans="1:23" s="2" customFormat="1" ht="13" x14ac:dyDescent="0.3">
      <c r="J31" s="1253" t="s">
        <v>2618</v>
      </c>
      <c r="K31" s="1253"/>
      <c r="L31" s="1253"/>
      <c r="M31" s="1253"/>
      <c r="N31" s="1253"/>
      <c r="O31" s="1253"/>
      <c r="P31" s="1253"/>
      <c r="R31" s="1253" t="s">
        <v>2619</v>
      </c>
      <c r="S31" s="1253"/>
      <c r="T31" s="1253"/>
      <c r="U31" s="1253"/>
      <c r="V31" s="1253"/>
      <c r="W31" s="1253"/>
    </row>
    <row r="32" spans="1:23" s="2" customFormat="1" ht="13" x14ac:dyDescent="0.3">
      <c r="A32" s="59" t="str">
        <f>Traduzioni!$G$302</f>
        <v>Vedovanza caso malattia</v>
      </c>
      <c r="B32" s="59" t="str">
        <f>B26</f>
        <v>Redditi / Rendite 1. e 2. pilastro</v>
      </c>
      <c r="C32" s="59" t="str">
        <f>C26</f>
        <v>3. pilastro</v>
      </c>
      <c r="D32" s="59" t="str">
        <f>D26</f>
        <v>Lacune</v>
      </c>
      <c r="F32" s="2" t="s">
        <v>1899</v>
      </c>
      <c r="G32" s="2" t="s">
        <v>1900</v>
      </c>
      <c r="J32" s="360" t="str">
        <f>A32</f>
        <v>Vedovanza caso malattia</v>
      </c>
      <c r="K32" s="360" t="str">
        <f>Traduzioni!G481</f>
        <v>AVS</v>
      </c>
      <c r="L32" s="360" t="str">
        <f>Traduzioni!G496</f>
        <v>Rend. suppl. AVS figli</v>
      </c>
      <c r="M32" s="360" t="str">
        <f>Traduzioni!G484</f>
        <v>LPP</v>
      </c>
      <c r="N32" s="360" t="str">
        <f>Traduzioni!G494</f>
        <v>Rend. suppl. LPP figli</v>
      </c>
      <c r="O32" s="360" t="str">
        <f>C32</f>
        <v>3. pilastro</v>
      </c>
      <c r="P32" s="360" t="str">
        <f>D32</f>
        <v>Lacune</v>
      </c>
      <c r="R32" s="360" t="str">
        <f>J32</f>
        <v>Vedovanza caso malattia</v>
      </c>
      <c r="S32" s="360" t="str">
        <f>K32</f>
        <v>AVS</v>
      </c>
      <c r="T32" s="360" t="str">
        <f>L32</f>
        <v>Rend. suppl. AVS figli</v>
      </c>
      <c r="U32" s="360" t="str">
        <f>M32</f>
        <v>LPP</v>
      </c>
      <c r="V32" s="360" t="str">
        <f>N32</f>
        <v>Rend. suppl. LPP figli</v>
      </c>
      <c r="W32" s="360" t="str">
        <f>P32</f>
        <v>Lacune</v>
      </c>
    </row>
    <row r="33" spans="1:23" s="2" customFormat="1" ht="13" x14ac:dyDescent="0.3">
      <c r="A33" s="59" t="str">
        <f>Traduzioni!G303</f>
        <v>Fabbisogno</v>
      </c>
      <c r="B33" s="60">
        <f ca="1">'PRIV-VALID.'!B71*B55</f>
        <v>0</v>
      </c>
      <c r="C33" s="60"/>
      <c r="D33" s="59"/>
      <c r="J33" s="360" t="str">
        <f>A27</f>
        <v>Fabbisogno mensile</v>
      </c>
      <c r="K33" s="361">
        <f ca="1">B33/12*B55</f>
        <v>0</v>
      </c>
      <c r="L33" s="361"/>
      <c r="M33" s="361"/>
      <c r="N33" s="361"/>
      <c r="O33" s="361"/>
      <c r="P33" s="361"/>
      <c r="R33" s="360" t="str">
        <f t="shared" ref="R33:R35" si="0">J33</f>
        <v>Fabbisogno mensile</v>
      </c>
      <c r="S33" s="361">
        <f t="shared" ref="S33:S35" ca="1" si="1">K33</f>
        <v>0</v>
      </c>
      <c r="T33" s="361"/>
      <c r="U33" s="361"/>
      <c r="V33" s="361"/>
      <c r="W33" s="361"/>
    </row>
    <row r="34" spans="1:23" s="2" customFormat="1" ht="13" x14ac:dyDescent="0.3">
      <c r="A34" s="59" t="str">
        <f>Traduzioni!G304</f>
        <v>Vedovanza (con Figli):</v>
      </c>
      <c r="B34" s="60">
        <f ca="1">(B16+B13+B18+B15*B55)</f>
        <v>0</v>
      </c>
      <c r="C34" s="60">
        <f ca="1">G34</f>
        <v>0</v>
      </c>
      <c r="D34" s="60">
        <f ca="1">B33-B34-C34</f>
        <v>0</v>
      </c>
      <c r="F34" s="272">
        <f ca="1">B33</f>
        <v>0</v>
      </c>
      <c r="G34" s="272">
        <f ca="1">F34-B34</f>
        <v>0</v>
      </c>
      <c r="J34" s="360" t="str">
        <f>A34</f>
        <v>Vedovanza (con Figli):</v>
      </c>
      <c r="K34" s="361">
        <f ca="1">($B16+$B55)*'PRIV-VALID.'!$B87/12</f>
        <v>0</v>
      </c>
      <c r="L34" s="361">
        <f ca="1">($B13+$B55)*'PRIV-VALID.'!$B87/12</f>
        <v>0</v>
      </c>
      <c r="M34" s="361">
        <f ca="1">($B18+$B55)*'PRIV-VALID.'!$B87/12</f>
        <v>0</v>
      </c>
      <c r="N34" s="361">
        <f ca="1">($B15+$B55)*'PRIV-VALID.'!$B87/12</f>
        <v>0</v>
      </c>
      <c r="O34" s="361">
        <f ca="1">K33-K34-L34-M34-N34</f>
        <v>0</v>
      </c>
      <c r="P34" s="361"/>
      <c r="R34" s="360" t="str">
        <f t="shared" si="0"/>
        <v>Vedovanza (con Figli):</v>
      </c>
      <c r="S34" s="361">
        <f t="shared" ca="1" si="1"/>
        <v>0</v>
      </c>
      <c r="T34" s="361">
        <f t="shared" ref="T34" ca="1" si="2">L34</f>
        <v>0</v>
      </c>
      <c r="U34" s="361">
        <f t="shared" ref="U34:U35" ca="1" si="3">M34</f>
        <v>0</v>
      </c>
      <c r="V34" s="361">
        <f t="shared" ref="V34" ca="1" si="4">N34</f>
        <v>0</v>
      </c>
      <c r="W34" s="361">
        <f ca="1">IF((S33-S34-T34-U34-V34)&lt;0,0,S33-S34-T34-U34-V34)</f>
        <v>0</v>
      </c>
    </row>
    <row r="35" spans="1:23" s="2" customFormat="1" ht="13" x14ac:dyDescent="0.3">
      <c r="A35" s="59" t="str">
        <f>Traduzioni!G305</f>
        <v>Vedovanza (senza Figli):</v>
      </c>
      <c r="B35" s="60">
        <f ca="1">B17+B18*B55</f>
        <v>0</v>
      </c>
      <c r="C35" s="60">
        <f ca="1">G35</f>
        <v>0</v>
      </c>
      <c r="D35" s="60">
        <f ca="1">B33-B35-C35</f>
        <v>0</v>
      </c>
      <c r="F35" s="272">
        <f ca="1">F34</f>
        <v>0</v>
      </c>
      <c r="G35" s="272">
        <f ca="1">G34</f>
        <v>0</v>
      </c>
      <c r="J35" s="360" t="str">
        <f>A35</f>
        <v>Vedovanza (senza Figli):</v>
      </c>
      <c r="K35" s="361">
        <f>B17/12</f>
        <v>0</v>
      </c>
      <c r="L35" s="361"/>
      <c r="M35" s="361">
        <f ca="1">M34</f>
        <v>0</v>
      </c>
      <c r="N35" s="361"/>
      <c r="O35" s="361">
        <f ca="1">K33-K35-M35</f>
        <v>0</v>
      </c>
      <c r="P35" s="361"/>
      <c r="R35" s="360" t="str">
        <f t="shared" si="0"/>
        <v>Vedovanza (senza Figli):</v>
      </c>
      <c r="S35" s="361">
        <f t="shared" si="1"/>
        <v>0</v>
      </c>
      <c r="T35" s="361"/>
      <c r="U35" s="361">
        <f t="shared" ca="1" si="3"/>
        <v>0</v>
      </c>
      <c r="V35" s="361"/>
      <c r="W35" s="361">
        <f ca="1">IF((S33-S35-T35-U35-V35)&lt;0,0,S33-S35-T35-U35-V35)</f>
        <v>0</v>
      </c>
    </row>
    <row r="36" spans="1:23" s="2" customFormat="1" ht="13" x14ac:dyDescent="0.3"/>
    <row r="37" spans="1:23" s="2" customFormat="1" ht="13" x14ac:dyDescent="0.3">
      <c r="A37" s="59" t="str">
        <f>Traduzioni!G306</f>
        <v>Reddito in caso di Infortunio</v>
      </c>
      <c r="B37" s="59" t="str">
        <f>B26</f>
        <v>Redditi / Rendite 1. e 2. pilastro</v>
      </c>
      <c r="C37" s="59" t="str">
        <f>C32</f>
        <v>3. pilastro</v>
      </c>
      <c r="D37" s="59" t="str">
        <f>D26</f>
        <v>Lacune</v>
      </c>
      <c r="J37" s="360" t="str">
        <f>A37</f>
        <v>Reddito in caso di Infortunio</v>
      </c>
      <c r="K37" s="360" t="str">
        <f t="shared" ref="K37:M42" si="5">B37</f>
        <v>Redditi / Rendite 1. e 2. pilastro</v>
      </c>
      <c r="L37" s="360" t="str">
        <f t="shared" si="5"/>
        <v>3. pilastro</v>
      </c>
      <c r="M37" s="360" t="str">
        <f t="shared" si="5"/>
        <v>Lacune</v>
      </c>
    </row>
    <row r="38" spans="1:23" s="2" customFormat="1" ht="13" x14ac:dyDescent="0.3">
      <c r="A38" s="59" t="str">
        <f>Traduzioni!G307</f>
        <v>Fabbisogno</v>
      </c>
      <c r="B38" s="60">
        <f ca="1">'PRIV-VALID.'!B15*B55</f>
        <v>0</v>
      </c>
      <c r="C38" s="60"/>
      <c r="D38" s="59"/>
      <c r="J38" s="360" t="str">
        <f>J33</f>
        <v>Fabbisogno mensile</v>
      </c>
      <c r="K38" s="361">
        <f ca="1">B38/12*B55</f>
        <v>0</v>
      </c>
      <c r="L38" s="361"/>
      <c r="M38" s="361"/>
    </row>
    <row r="39" spans="1:23" s="2" customFormat="1" ht="13" x14ac:dyDescent="0.3">
      <c r="A39" s="59" t="str">
        <f>Traduzioni!G308</f>
        <v>i.g. Inortunio</v>
      </c>
      <c r="B39" s="60">
        <f ca="1">B7*B55</f>
        <v>0</v>
      </c>
      <c r="C39" s="60"/>
      <c r="D39" s="60">
        <f ca="1">IF((B38-B39)&lt;0,0,B38-B39)</f>
        <v>0</v>
      </c>
      <c r="J39" s="360" t="str">
        <f t="shared" ref="J39:J45" si="6">A39</f>
        <v>i.g. Inortunio</v>
      </c>
      <c r="K39" s="361">
        <f ca="1">B39/12</f>
        <v>0</v>
      </c>
      <c r="L39" s="361"/>
      <c r="M39" s="361">
        <f ca="1">D39/12</f>
        <v>0</v>
      </c>
    </row>
    <row r="40" spans="1:23" s="2" customFormat="1" ht="13" x14ac:dyDescent="0.3">
      <c r="A40" s="59" t="str">
        <f>Traduzioni!$G$309</f>
        <v>Inv. Infortunio</v>
      </c>
      <c r="B40" s="60">
        <f ca="1">B8*B55</f>
        <v>0</v>
      </c>
      <c r="C40" s="60"/>
      <c r="D40" s="60">
        <f ca="1">IF((B38-B40)&lt;0,0,B38-B40)</f>
        <v>0</v>
      </c>
      <c r="J40" s="360" t="str">
        <f t="shared" si="6"/>
        <v>Inv. Infortunio</v>
      </c>
      <c r="K40" s="361">
        <f ca="1">B40/12</f>
        <v>0</v>
      </c>
      <c r="L40" s="361"/>
      <c r="M40" s="361">
        <f ca="1">D40/12</f>
        <v>0</v>
      </c>
    </row>
    <row r="41" spans="1:23" s="2" customFormat="1" ht="13" x14ac:dyDescent="0.3">
      <c r="B41" s="53"/>
      <c r="C41" s="53"/>
      <c r="D41" s="53"/>
    </row>
    <row r="42" spans="1:23" s="2" customFormat="1" ht="13" x14ac:dyDescent="0.3">
      <c r="A42" s="59" t="str">
        <f>Traduzioni!$G$310</f>
        <v>Vedovanza in caso di Infortunio</v>
      </c>
      <c r="B42" s="60" t="str">
        <f>B26</f>
        <v>Redditi / Rendite 1. e 2. pilastro</v>
      </c>
      <c r="C42" s="60" t="str">
        <f>C37</f>
        <v>3. pilastro</v>
      </c>
      <c r="D42" s="60" t="str">
        <f>D26</f>
        <v>Lacune</v>
      </c>
      <c r="H42" s="61"/>
      <c r="I42" s="61"/>
      <c r="J42" s="360" t="str">
        <f t="shared" si="6"/>
        <v>Vedovanza in caso di Infortunio</v>
      </c>
      <c r="K42" s="360" t="str">
        <f t="shared" si="5"/>
        <v>Redditi / Rendite 1. e 2. pilastro</v>
      </c>
      <c r="L42" s="360" t="str">
        <f t="shared" si="5"/>
        <v>3. pilastro</v>
      </c>
      <c r="M42" s="360" t="str">
        <f t="shared" si="5"/>
        <v>Lacune</v>
      </c>
    </row>
    <row r="43" spans="1:23" s="2" customFormat="1" ht="13" x14ac:dyDescent="0.3">
      <c r="A43" s="59" t="str">
        <f>Traduzioni!G311</f>
        <v>Fabbisogno</v>
      </c>
      <c r="B43" s="60">
        <f ca="1">'PRIV-VALID.'!B71*B55</f>
        <v>0</v>
      </c>
      <c r="C43" s="60"/>
      <c r="D43" s="60"/>
      <c r="J43" s="360" t="str">
        <f>J38</f>
        <v>Fabbisogno mensile</v>
      </c>
      <c r="K43" s="361">
        <f ca="1">B43/12*B55</f>
        <v>0</v>
      </c>
      <c r="L43" s="361"/>
      <c r="M43" s="361"/>
    </row>
    <row r="44" spans="1:23" s="2" customFormat="1" ht="13" x14ac:dyDescent="0.3">
      <c r="A44" s="59" t="str">
        <f>Traduzioni!G312</f>
        <v>Vedovanza (con Figli)</v>
      </c>
      <c r="B44" s="60">
        <f ca="1">D23*B55</f>
        <v>0</v>
      </c>
      <c r="C44" s="60"/>
      <c r="D44" s="60">
        <f ca="1">IF((B43-B44)&lt;0,0,B43-B44)</f>
        <v>0</v>
      </c>
      <c r="J44" s="360" t="str">
        <f t="shared" si="6"/>
        <v>Vedovanza (con Figli)</v>
      </c>
      <c r="K44" s="361">
        <f ca="1">B44/12</f>
        <v>0</v>
      </c>
      <c r="L44" s="361"/>
      <c r="M44" s="361">
        <f ca="1">D44/12</f>
        <v>0</v>
      </c>
    </row>
    <row r="45" spans="1:23" s="2" customFormat="1" ht="13" x14ac:dyDescent="0.3">
      <c r="A45" s="59" t="str">
        <f>Traduzioni!G313</f>
        <v>Vedovanza (senza Figli)</v>
      </c>
      <c r="B45" s="60">
        <f ca="1">IF(B17+B20+B18*B55&gt;D24,D24,B17+B20+B18*B55)</f>
        <v>0</v>
      </c>
      <c r="C45" s="60"/>
      <c r="D45" s="60">
        <f ca="1">IF((B43-B45)&lt;0,0,B43-B45)</f>
        <v>0</v>
      </c>
      <c r="J45" s="360" t="str">
        <f t="shared" si="6"/>
        <v>Vedovanza (senza Figli)</v>
      </c>
      <c r="K45" s="361">
        <f ca="1">B45/12</f>
        <v>0</v>
      </c>
      <c r="L45" s="361"/>
      <c r="M45" s="361">
        <f ca="1">D45/12</f>
        <v>0</v>
      </c>
    </row>
    <row r="46" spans="1:23" s="2" customFormat="1" ht="13" x14ac:dyDescent="0.3">
      <c r="J46" s="1253" t="s">
        <v>2634</v>
      </c>
      <c r="K46" s="1253"/>
      <c r="L46" s="1253"/>
      <c r="M46" s="1253"/>
      <c r="N46" s="1253"/>
      <c r="P46" s="1254" t="s">
        <v>2619</v>
      </c>
      <c r="Q46" s="1254"/>
      <c r="R46" s="1254"/>
      <c r="S46" s="1254"/>
      <c r="T46" s="1254"/>
    </row>
    <row r="47" spans="1:23" s="2" customFormat="1" ht="13" x14ac:dyDescent="0.3">
      <c r="A47" s="59" t="str">
        <f>Traduzioni!$G$314</f>
        <v>Pensione (senza Splitting:)</v>
      </c>
      <c r="B47" s="59" t="str">
        <f>B26</f>
        <v>Redditi / Rendite 1. e 2. pilastro</v>
      </c>
      <c r="C47" s="60" t="str">
        <f>C42</f>
        <v>3. pilastro</v>
      </c>
      <c r="D47" s="59" t="str">
        <f>D26</f>
        <v>Lacune</v>
      </c>
      <c r="J47" s="360" t="str">
        <f>A47</f>
        <v>Pensione (senza Splitting:)</v>
      </c>
      <c r="K47" s="360" t="str">
        <f>K32</f>
        <v>AVS</v>
      </c>
      <c r="L47" s="360" t="str">
        <f>M32</f>
        <v>LPP</v>
      </c>
      <c r="M47" s="360" t="str">
        <f>O32</f>
        <v>3. pilastro</v>
      </c>
      <c r="N47" s="360" t="str">
        <f>P32</f>
        <v>Lacune</v>
      </c>
      <c r="P47" s="360" t="str">
        <f>J47</f>
        <v>Pensione (senza Splitting:)</v>
      </c>
      <c r="Q47" s="360" t="str">
        <f t="shared" ref="Q47:T50" si="7">K47</f>
        <v>AVS</v>
      </c>
      <c r="R47" s="360" t="str">
        <f t="shared" si="7"/>
        <v>LPP</v>
      </c>
      <c r="S47" s="360" t="str">
        <f t="shared" si="7"/>
        <v>3. pilastro</v>
      </c>
      <c r="T47" s="360" t="str">
        <f t="shared" si="7"/>
        <v>Lacune</v>
      </c>
    </row>
    <row r="48" spans="1:23" s="2" customFormat="1" ht="13" x14ac:dyDescent="0.3">
      <c r="A48" s="59" t="str">
        <f>Traduzioni!G315</f>
        <v>Fabbisogno</v>
      </c>
      <c r="B48" s="60">
        <f ca="1">B38*B55</f>
        <v>0</v>
      </c>
      <c r="C48" s="60"/>
      <c r="D48" s="59">
        <v>0</v>
      </c>
      <c r="J48" s="360" t="str">
        <f>J33</f>
        <v>Fabbisogno mensile</v>
      </c>
      <c r="K48" s="361">
        <f ca="1">B48/12*B55</f>
        <v>0</v>
      </c>
      <c r="L48" s="361"/>
      <c r="M48" s="361"/>
      <c r="N48" s="361"/>
      <c r="P48" s="360" t="str">
        <f t="shared" ref="P48:P50" si="8">J48</f>
        <v>Fabbisogno mensile</v>
      </c>
      <c r="Q48" s="361">
        <f t="shared" ca="1" si="7"/>
        <v>0</v>
      </c>
      <c r="R48" s="361"/>
      <c r="S48" s="361"/>
      <c r="T48" s="361"/>
    </row>
    <row r="49" spans="1:20" s="2" customFormat="1" ht="13" x14ac:dyDescent="0.3">
      <c r="A49" s="59" t="str">
        <f>Traduzioni!G316</f>
        <v>AVS + LPP:</v>
      </c>
      <c r="B49" s="63">
        <f ca="1">B10+'PRIV-VALID.'!B29*B55</f>
        <v>15120</v>
      </c>
      <c r="C49" s="63">
        <f ca="1">'PRIV-VALID.'!B42/100*6.8</f>
        <v>0</v>
      </c>
      <c r="D49" s="63">
        <f ca="1">B48-B49-C49</f>
        <v>-15120</v>
      </c>
      <c r="J49" s="360" t="str">
        <f>A47</f>
        <v>Pensione (senza Splitting:)</v>
      </c>
      <c r="K49" s="361">
        <f ca="1">B10*B55/12</f>
        <v>1260</v>
      </c>
      <c r="L49" s="361">
        <f>'PRIV-VALID.'!B29/12</f>
        <v>0</v>
      </c>
      <c r="M49" s="361">
        <f ca="1">C49/12</f>
        <v>0</v>
      </c>
      <c r="N49" s="361">
        <f ca="1">IF((K48-K49-L49-M49)&lt;0,0,K48-K49-L49-M49)</f>
        <v>0</v>
      </c>
      <c r="P49" s="360" t="str">
        <f t="shared" si="8"/>
        <v>Pensione (senza Splitting:)</v>
      </c>
      <c r="Q49" s="361">
        <f t="shared" ca="1" si="7"/>
        <v>1260</v>
      </c>
      <c r="R49" s="361">
        <f t="shared" si="7"/>
        <v>0</v>
      </c>
      <c r="S49" s="361"/>
      <c r="T49" s="361">
        <f ca="1">IF((Q48-Q49-R49-S49)&lt;0,0,Q48-Q49-R49-S49)</f>
        <v>0</v>
      </c>
    </row>
    <row r="50" spans="1:20" s="2" customFormat="1" ht="13" x14ac:dyDescent="0.3">
      <c r="A50" s="59" t="str">
        <f>Traduzioni!$G$317</f>
        <v>Con splitting:</v>
      </c>
      <c r="B50" s="60">
        <f ca="1">B11+'PRIV-VALID.'!B29*B55</f>
        <v>15120</v>
      </c>
      <c r="C50" s="60">
        <f ca="1">'PRIV-VALID.'!B42*6.8%</f>
        <v>0</v>
      </c>
      <c r="D50" s="60">
        <f ca="1">B48-B50-C50</f>
        <v>-15120</v>
      </c>
      <c r="J50" s="360" t="str">
        <f>A50</f>
        <v>Con splitting:</v>
      </c>
      <c r="K50" s="361">
        <f>B11/12</f>
        <v>1260</v>
      </c>
      <c r="L50" s="361">
        <f>L49</f>
        <v>0</v>
      </c>
      <c r="M50" s="361">
        <f ca="1">C50/12</f>
        <v>0</v>
      </c>
      <c r="N50" s="361">
        <f ca="1">IF((K48-K50-L50-M50)&lt;0,0,K48-K50-L50-M50)</f>
        <v>0</v>
      </c>
      <c r="P50" s="360" t="str">
        <f t="shared" si="8"/>
        <v>Con splitting:</v>
      </c>
      <c r="Q50" s="361">
        <f t="shared" si="7"/>
        <v>1260</v>
      </c>
      <c r="R50" s="361">
        <f t="shared" si="7"/>
        <v>0</v>
      </c>
      <c r="S50" s="361"/>
      <c r="T50" s="361">
        <f ca="1">IF((Q48-Q50-R50-S50)&lt;0,0,Q48-Q50-R50-S50)</f>
        <v>0</v>
      </c>
    </row>
    <row r="51" spans="1:20" s="67" customFormat="1" ht="13" x14ac:dyDescent="0.3"/>
    <row r="52" spans="1:20" s="190" customFormat="1" ht="13" x14ac:dyDescent="0.3"/>
    <row r="53" spans="1:20" s="190" customFormat="1" ht="13" x14ac:dyDescent="0.3">
      <c r="A53" s="190" t="s">
        <v>133</v>
      </c>
      <c r="B53" s="191">
        <v>46022</v>
      </c>
      <c r="C53" s="191"/>
    </row>
    <row r="54" spans="1:20" s="190" customFormat="1" ht="13" x14ac:dyDescent="0.3">
      <c r="A54" s="190" t="s">
        <v>134</v>
      </c>
      <c r="B54" s="191">
        <f ca="1">TODAY()</f>
        <v>45680</v>
      </c>
      <c r="C54" s="191"/>
    </row>
    <row r="55" spans="1:20" s="190" customFormat="1" ht="13" x14ac:dyDescent="0.3">
      <c r="A55" s="190" t="s">
        <v>135</v>
      </c>
      <c r="B55" s="190">
        <f ca="1">IF(B54&gt;B53,B57,1)</f>
        <v>1</v>
      </c>
    </row>
    <row r="56" spans="1:20" s="190" customFormat="1" ht="13" x14ac:dyDescent="0.3"/>
    <row r="57" spans="1:20" s="190" customFormat="1" ht="13" x14ac:dyDescent="0.3">
      <c r="A57" s="190" t="s">
        <v>363</v>
      </c>
      <c r="B57" s="190" t="s">
        <v>364</v>
      </c>
    </row>
    <row r="58" spans="1:20" s="190" customFormat="1" ht="13" x14ac:dyDescent="0.3"/>
    <row r="59" spans="1:20" s="69" customFormat="1" x14ac:dyDescent="0.35">
      <c r="A59" s="902" t="s">
        <v>4551</v>
      </c>
    </row>
    <row r="60" spans="1:20" s="69" customFormat="1" x14ac:dyDescent="0.35"/>
    <row r="61" spans="1:20" x14ac:dyDescent="0.35">
      <c r="A61" s="87" t="str">
        <f ca="1">IF(B55=1,"Con l'aumento della speranza di vita, il calo della natalita' e l'allungarsi del periodo di formazione dei",B55)</f>
        <v>Con l'aumento della speranza di vita, il calo della natalita' e l'allungarsi del periodo di formazione dei</v>
      </c>
      <c r="B61" s="68"/>
      <c r="C61" s="68"/>
      <c r="D61" s="68"/>
      <c r="E61" s="68"/>
      <c r="F61" s="68"/>
      <c r="G61" s="66"/>
    </row>
    <row r="62" spans="1:20" x14ac:dyDescent="0.35">
      <c r="A62" s="87" t="str">
        <f ca="1">IF(B55=1,"giovani, le persone di oltre 65 anni saranno a carico di un numero sempre piu' ristretto di lavoratori.",B55)</f>
        <v>giovani, le persone di oltre 65 anni saranno a carico di un numero sempre piu' ristretto di lavoratori.</v>
      </c>
      <c r="B62" s="68"/>
      <c r="C62" s="68"/>
      <c r="D62" s="68"/>
      <c r="E62" s="68"/>
      <c r="F62" s="68"/>
      <c r="G62" s="66"/>
    </row>
    <row r="63" spans="1:20" x14ac:dyDescent="0.35">
      <c r="A63" s="87"/>
      <c r="B63" s="68"/>
      <c r="C63" s="68"/>
      <c r="D63" s="68"/>
      <c r="E63" s="68"/>
      <c r="F63" s="68"/>
      <c r="G63" s="66"/>
    </row>
    <row r="64" spans="1:20" x14ac:dyDescent="0.35">
      <c r="A64" s="87" t="str">
        <f ca="1">IF(B55=1,"La calcolazione presente si basa sul diritto attuale ad una rendita di pensionamento.",B55)</f>
        <v>La calcolazione presente si basa sul diritto attuale ad una rendita di pensionamento.</v>
      </c>
      <c r="B64" s="68"/>
      <c r="C64" s="68"/>
      <c r="D64" s="68"/>
      <c r="E64" s="68"/>
      <c r="F64" s="68"/>
      <c r="G64" s="66"/>
    </row>
    <row r="65" spans="1:7" x14ac:dyDescent="0.35">
      <c r="A65" s="87" t="str">
        <f ca="1">IF(B55=1,"Probabilmente, come avvertono gli organi di stampa e gli organi ufficiali delle istituzioni sociali svizzere,",B55)</f>
        <v>Probabilmente, come avvertono gli organi di stampa e gli organi ufficiali delle istituzioni sociali svizzere,</v>
      </c>
      <c r="B65" s="68"/>
      <c r="C65" s="68"/>
      <c r="D65" s="68"/>
      <c r="E65" s="68"/>
      <c r="F65" s="68"/>
      <c r="G65" s="66"/>
    </row>
    <row r="66" spans="1:7" x14ac:dyDescent="0.35">
      <c r="A66" s="87" t="str">
        <f ca="1">IF(B55=1,"in futuro le prestazioni dell'AVS dovranno essere drasticamente ridotte, per evitare un tracollo delle stesse.",B55)</f>
        <v>in futuro le prestazioni dell'AVS dovranno essere drasticamente ridotte, per evitare un tracollo delle stesse.</v>
      </c>
      <c r="B66" s="68"/>
      <c r="C66" s="68"/>
      <c r="D66" s="68"/>
      <c r="E66" s="68"/>
      <c r="F66" s="68"/>
      <c r="G66" s="66"/>
    </row>
    <row r="67" spans="1:7" x14ac:dyDescent="0.35">
      <c r="A67" s="87"/>
      <c r="B67" s="68"/>
      <c r="C67" s="68"/>
      <c r="D67" s="68"/>
      <c r="E67" s="68"/>
      <c r="F67" s="68"/>
      <c r="G67" s="66"/>
    </row>
    <row r="68" spans="1:7" x14ac:dyDescent="0.35">
      <c r="A68" s="87" t="str">
        <f ca="1">IF(B55=1,"Al momento attuale l'AVS e' gia' nelle cifre rosse; e si prevede per i prossimi vent'anni circa un raddoppio",B55)</f>
        <v>Al momento attuale l'AVS e' gia' nelle cifre rosse; e si prevede per i prossimi vent'anni circa un raddoppio</v>
      </c>
      <c r="B68" s="68"/>
      <c r="C68" s="68"/>
      <c r="D68" s="68"/>
      <c r="E68" s="68"/>
      <c r="F68" s="68"/>
      <c r="G68" s="66"/>
    </row>
    <row r="69" spans="1:7" x14ac:dyDescent="0.35">
      <c r="A69" s="87" t="str">
        <f ca="1">IF(B55=1,"dei pensionati in proporzione al resto della popolazione attiva.",B55)</f>
        <v>dei pensionati in proporzione al resto della popolazione attiva.</v>
      </c>
      <c r="B69" s="68"/>
      <c r="C69" s="68"/>
      <c r="D69" s="68"/>
      <c r="E69" s="68"/>
      <c r="F69" s="68"/>
      <c r="G69" s="66"/>
    </row>
    <row r="70" spans="1:7" x14ac:dyDescent="0.35">
      <c r="A70" s="87"/>
      <c r="B70" s="68"/>
      <c r="C70" s="68"/>
      <c r="D70" s="68"/>
      <c r="E70" s="68"/>
      <c r="F70" s="68"/>
      <c r="G70" s="66"/>
    </row>
    <row r="71" spans="1:7" x14ac:dyDescent="0.35">
      <c r="A71" s="87" t="s">
        <v>136</v>
      </c>
      <c r="B71" s="68"/>
      <c r="C71" s="68"/>
      <c r="D71" s="68"/>
      <c r="E71" s="68"/>
      <c r="F71" s="68"/>
      <c r="G71" s="66"/>
    </row>
    <row r="72" spans="1:7" x14ac:dyDescent="0.35">
      <c r="A72" s="87" t="s">
        <v>137</v>
      </c>
      <c r="B72" s="68"/>
      <c r="C72" s="68"/>
      <c r="D72" s="68"/>
      <c r="E72" s="68"/>
      <c r="F72" s="68"/>
      <c r="G72" s="66"/>
    </row>
    <row r="73" spans="1:7" x14ac:dyDescent="0.35">
      <c r="A73" s="87" t="s">
        <v>138</v>
      </c>
      <c r="B73" s="68"/>
      <c r="C73" s="68"/>
      <c r="D73" s="68"/>
      <c r="E73" s="68"/>
      <c r="F73" s="68"/>
      <c r="G73" s="66"/>
    </row>
    <row r="74" spans="1:7" x14ac:dyDescent="0.35">
      <c r="A74" s="69"/>
      <c r="B74" s="69"/>
      <c r="C74" s="69"/>
      <c r="D74" s="69"/>
      <c r="E74" s="68"/>
      <c r="F74" s="68"/>
      <c r="G74" s="66"/>
    </row>
    <row r="75" spans="1:7" x14ac:dyDescent="0.35">
      <c r="A75" s="69"/>
      <c r="B75" s="69"/>
      <c r="C75" s="69"/>
      <c r="D75" s="69"/>
      <c r="E75" s="69"/>
      <c r="F75" s="66"/>
      <c r="G75" s="66"/>
    </row>
    <row r="76" spans="1:7" x14ac:dyDescent="0.35">
      <c r="A76" s="1252" t="s">
        <v>1904</v>
      </c>
      <c r="B76" s="1252"/>
      <c r="C76" s="69"/>
      <c r="D76" s="69"/>
      <c r="E76" s="69"/>
      <c r="F76" s="66"/>
      <c r="G76" s="66"/>
    </row>
    <row r="77" spans="1:7" x14ac:dyDescent="0.35">
      <c r="A77" s="182" t="s">
        <v>351</v>
      </c>
      <c r="B77" s="183">
        <f>IF((ANALYSIS!C$31+ANALYSIS!C$32+ANALYSIS!C$33)&gt;1,2,0)</f>
        <v>0</v>
      </c>
      <c r="C77" s="69"/>
      <c r="D77" s="69"/>
      <c r="E77" s="69"/>
      <c r="F77" s="66"/>
      <c r="G77" s="66"/>
    </row>
    <row r="78" spans="1:7" ht="31" x14ac:dyDescent="0.35">
      <c r="A78" s="182" t="s">
        <v>352</v>
      </c>
      <c r="B78" s="183">
        <f>IF(ANALYSIS!B$20&lt;&gt;2,0,IF('Parametri generali'!$B$6-'Parametri generali'!$B$5&gt;4,1,0))</f>
        <v>0</v>
      </c>
      <c r="C78" s="69"/>
      <c r="D78" s="69"/>
      <c r="E78" s="69"/>
      <c r="F78" s="66"/>
      <c r="G78" s="66"/>
    </row>
    <row r="79" spans="1:7" ht="31" x14ac:dyDescent="0.35">
      <c r="A79" s="182" t="s">
        <v>1903</v>
      </c>
      <c r="B79" s="183">
        <f>IF(ANALYSIS!B$20&lt;2,0,IF('Parametri generali'!$B$6-'Parametri generali'!$B$5&gt;4,1,0))</f>
        <v>0</v>
      </c>
      <c r="C79" s="69"/>
      <c r="D79" s="69"/>
      <c r="E79" s="69"/>
      <c r="F79" s="66"/>
      <c r="G79" s="66"/>
    </row>
    <row r="80" spans="1:7" x14ac:dyDescent="0.35">
      <c r="A80" s="184" t="s">
        <v>353</v>
      </c>
      <c r="B80" s="185">
        <f ca="1">IF('Parametri generali'!B$7&gt;44,1,0)</f>
        <v>1</v>
      </c>
      <c r="C80" s="69"/>
      <c r="D80" s="69"/>
      <c r="E80" s="69"/>
      <c r="F80" s="66"/>
      <c r="G80" s="66"/>
    </row>
    <row r="81" spans="1:7" x14ac:dyDescent="0.35">
      <c r="A81" s="184" t="s">
        <v>357</v>
      </c>
      <c r="B81" s="185">
        <f>IF('PRIV-VALID.'!B13=0,1,0)</f>
        <v>1</v>
      </c>
      <c r="C81" s="69"/>
      <c r="D81" s="69"/>
      <c r="E81" s="69"/>
      <c r="F81" s="66"/>
      <c r="G81" s="66"/>
    </row>
    <row r="82" spans="1:7" x14ac:dyDescent="0.35">
      <c r="A82" s="184" t="s">
        <v>358</v>
      </c>
      <c r="B82" s="185">
        <f ca="1">IF(B81&lt;2,IF(B77=2,1,IF(B78+B80&gt;1,1,0)))</f>
        <v>0</v>
      </c>
      <c r="C82" s="69"/>
      <c r="D82" s="69"/>
      <c r="E82" s="69"/>
      <c r="F82" s="66"/>
      <c r="G82" s="66"/>
    </row>
    <row r="83" spans="1:7" x14ac:dyDescent="0.35">
      <c r="A83" s="184" t="s">
        <v>1901</v>
      </c>
      <c r="B83" s="185">
        <f>IF(B77&gt;0,1,IF(B78+B79&gt;0,1,0))</f>
        <v>0</v>
      </c>
      <c r="C83" s="69"/>
      <c r="D83" s="69"/>
      <c r="E83" s="69"/>
      <c r="F83" s="66"/>
      <c r="G83" s="66"/>
    </row>
    <row r="84" spans="1:7" x14ac:dyDescent="0.35">
      <c r="A84" s="184" t="s">
        <v>1902</v>
      </c>
      <c r="B84" s="185">
        <f ca="1">IF(B77+B78+B80&gt;1,1,0)</f>
        <v>0</v>
      </c>
      <c r="C84" s="69"/>
      <c r="D84" s="69"/>
      <c r="E84" s="69"/>
      <c r="F84" s="66"/>
      <c r="G84" s="66"/>
    </row>
    <row r="85" spans="1:7" x14ac:dyDescent="0.35">
      <c r="A85" s="69"/>
      <c r="B85" s="69"/>
      <c r="C85" s="69"/>
      <c r="D85" s="69"/>
      <c r="E85" s="69"/>
      <c r="F85" s="66"/>
      <c r="G85" s="66"/>
    </row>
    <row r="86" spans="1:7" x14ac:dyDescent="0.35">
      <c r="A86" s="69"/>
      <c r="B86" s="69"/>
      <c r="C86" s="69"/>
      <c r="D86" s="69"/>
      <c r="E86" s="69"/>
      <c r="F86" s="66"/>
      <c r="G86" s="66"/>
    </row>
    <row r="87" spans="1:7" x14ac:dyDescent="0.35">
      <c r="A87" s="69"/>
      <c r="B87" s="69"/>
      <c r="C87" s="69"/>
      <c r="D87" s="69"/>
      <c r="F87" s="66"/>
      <c r="G87" s="66"/>
    </row>
    <row r="88" spans="1:7" x14ac:dyDescent="0.35">
      <c r="A88" s="108" t="str">
        <f>Traduzioni!$G$505</f>
        <v>Profilo Previdenziale</v>
      </c>
      <c r="B88" s="108" t="str">
        <f>Traduzioni!$G$517</f>
        <v>COPERTURE</v>
      </c>
      <c r="C88" s="108" t="str">
        <f>Traduzioni!$G$518</f>
        <v>LACUNE</v>
      </c>
    </row>
    <row r="89" spans="1:7" x14ac:dyDescent="0.35">
      <c r="A89" s="360" t="str">
        <f>Traduzioni!$G$298</f>
        <v>Fabbisogno mensile</v>
      </c>
      <c r="B89" s="478">
        <f ca="1">K27</f>
        <v>0</v>
      </c>
      <c r="C89" s="108"/>
    </row>
    <row r="90" spans="1:7" x14ac:dyDescent="0.35">
      <c r="A90" s="108" t="str">
        <f>Traduzioni!$G$506</f>
        <v>Pens. con split.</v>
      </c>
      <c r="B90" s="479">
        <f ca="1">B50/12</f>
        <v>1260</v>
      </c>
      <c r="C90" s="480">
        <f ca="1">$B$89-B90</f>
        <v>-1260</v>
      </c>
    </row>
    <row r="91" spans="1:7" x14ac:dyDescent="0.35">
      <c r="A91" s="108" t="str">
        <f>Traduzioni!$G$507</f>
        <v>Pens. senza split.</v>
      </c>
      <c r="B91" s="479">
        <f ca="1">B49/12</f>
        <v>1260</v>
      </c>
      <c r="C91" s="480">
        <f t="shared" ref="C91:C100" ca="1" si="9">$B$89-B91</f>
        <v>-1260</v>
      </c>
    </row>
    <row r="92" spans="1:7" x14ac:dyDescent="0.35">
      <c r="A92" s="108" t="str">
        <f>Traduzioni!$G$508</f>
        <v>IG Inf. 720. gg</v>
      </c>
      <c r="B92" s="479">
        <f ca="1">B39/12</f>
        <v>0</v>
      </c>
      <c r="C92" s="480">
        <f t="shared" ca="1" si="9"/>
        <v>0</v>
      </c>
    </row>
    <row r="93" spans="1:7" x14ac:dyDescent="0.35">
      <c r="A93" s="108" t="str">
        <f>Traduzioni!$G$509</f>
        <v>IG Mal. 720.gg.</v>
      </c>
      <c r="B93" s="479">
        <f ca="1">B28/12</f>
        <v>0</v>
      </c>
      <c r="C93" s="480">
        <f t="shared" ca="1" si="9"/>
        <v>0</v>
      </c>
    </row>
    <row r="94" spans="1:7" x14ac:dyDescent="0.35">
      <c r="A94" s="108" t="str">
        <f>Traduzioni!$G$510</f>
        <v>Inv. Mal. con figli</v>
      </c>
      <c r="B94" s="479">
        <f ca="1">B29/12</f>
        <v>1260</v>
      </c>
      <c r="C94" s="480">
        <f t="shared" ca="1" si="9"/>
        <v>-1260</v>
      </c>
    </row>
    <row r="95" spans="1:7" x14ac:dyDescent="0.35">
      <c r="A95" s="108" t="str">
        <f>Traduzioni!$G$511</f>
        <v>Inv. Mal. senza figli</v>
      </c>
      <c r="B95" s="479">
        <f ca="1">B30/12</f>
        <v>1260</v>
      </c>
      <c r="C95" s="480">
        <f t="shared" ca="1" si="9"/>
        <v>-1260</v>
      </c>
    </row>
    <row r="96" spans="1:7" x14ac:dyDescent="0.35">
      <c r="A96" s="108" t="str">
        <f>Traduzioni!$G$512</f>
        <v>Inv. per Inf.</v>
      </c>
      <c r="B96" s="479">
        <f ca="1">B40/12</f>
        <v>0</v>
      </c>
      <c r="C96" s="480">
        <f t="shared" ca="1" si="9"/>
        <v>0</v>
      </c>
    </row>
    <row r="97" spans="1:3" x14ac:dyDescent="0.35">
      <c r="A97" s="108" t="str">
        <f>Traduzioni!$G$513</f>
        <v>Vedov. Mal. con figli</v>
      </c>
      <c r="B97" s="479">
        <f ca="1">B34/12</f>
        <v>0</v>
      </c>
      <c r="C97" s="480">
        <f t="shared" ca="1" si="9"/>
        <v>0</v>
      </c>
    </row>
    <row r="98" spans="1:3" x14ac:dyDescent="0.35">
      <c r="A98" s="108" t="str">
        <f>Traduzioni!$G$514</f>
        <v>Vedov. Mal. senza figli</v>
      </c>
      <c r="B98" s="479">
        <f ca="1">B35/12</f>
        <v>0</v>
      </c>
      <c r="C98" s="480">
        <f t="shared" ca="1" si="9"/>
        <v>0</v>
      </c>
    </row>
    <row r="99" spans="1:3" x14ac:dyDescent="0.35">
      <c r="A99" s="108" t="str">
        <f>Traduzioni!$G$515</f>
        <v>Vedov. Inf. con figli</v>
      </c>
      <c r="B99" s="479">
        <f ca="1">B44/12</f>
        <v>0</v>
      </c>
      <c r="C99" s="480">
        <f t="shared" ca="1" si="9"/>
        <v>0</v>
      </c>
    </row>
    <row r="100" spans="1:3" x14ac:dyDescent="0.35">
      <c r="A100" s="108" t="str">
        <f>Traduzioni!$G$516</f>
        <v>Vedov. Inf. senza figli</v>
      </c>
      <c r="B100" s="479">
        <f ca="1">B45/12</f>
        <v>0</v>
      </c>
      <c r="C100" s="480">
        <f t="shared" ca="1" si="9"/>
        <v>0</v>
      </c>
    </row>
  </sheetData>
  <sheetProtection algorithmName="SHA-512" hashValue="jo6JMfg0Ynbe4ujKsTGXhqyYFCZqd2Cekoy8mTrlAHEz+C97o8OiI23azdsujbY8RR1SsbGAn5O3J1xwbL49/w==" saltValue="Cea3O83rJwaw2+zNy6Y8sw==" spinCount="100000" sheet="1" selectLockedCells="1" selectUnlockedCells="1"/>
  <mergeCells count="11">
    <mergeCell ref="J25:P25"/>
    <mergeCell ref="R25:W25"/>
    <mergeCell ref="B1:D1"/>
    <mergeCell ref="B2:D2"/>
    <mergeCell ref="B3:D3"/>
    <mergeCell ref="B4:D4"/>
    <mergeCell ref="A76:B76"/>
    <mergeCell ref="J31:P31"/>
    <mergeCell ref="R31:W31"/>
    <mergeCell ref="J46:N46"/>
    <mergeCell ref="P46:T46"/>
  </mergeCells>
  <pageMargins left="0.7" right="0.7" top="0.75" bottom="0.75" header="0.51180555555555551" footer="0.51180555555555551"/>
  <pageSetup paperSize="9" firstPageNumber="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2480D-F24F-46E4-B85B-72EA3362DD53}">
  <sheetPr codeName="Foglio23"/>
  <dimension ref="A1:W100"/>
  <sheetViews>
    <sheetView zoomScale="120" zoomScaleNormal="120" workbookViewId="0">
      <selection activeCell="B13" sqref="B13"/>
    </sheetView>
  </sheetViews>
  <sheetFormatPr defaultColWidth="9.7265625" defaultRowHeight="15.5" x14ac:dyDescent="0.35"/>
  <cols>
    <col min="1" max="1" width="32" style="1" customWidth="1"/>
    <col min="2" max="3" width="24.26953125" style="1" customWidth="1"/>
    <col min="4" max="4" width="19.26953125" style="1" customWidth="1"/>
    <col min="5" max="5" width="9.7265625" style="1"/>
    <col min="6" max="6" width="8.7265625" style="1" customWidth="1"/>
    <col min="7" max="9" width="9.7265625" style="1"/>
    <col min="10" max="10" width="21.26953125" style="1" customWidth="1"/>
    <col min="11" max="16384" width="9.7265625" style="1"/>
  </cols>
  <sheetData>
    <row r="1" spans="1:4" s="2" customFormat="1" ht="13" x14ac:dyDescent="0.3">
      <c r="A1" s="50" t="s">
        <v>31</v>
      </c>
      <c r="B1" s="910">
        <f>'PRIV-VALID.'!B65</f>
        <v>0</v>
      </c>
      <c r="C1" s="910"/>
      <c r="D1" s="910"/>
    </row>
    <row r="2" spans="1:4" s="2" customFormat="1" ht="13" x14ac:dyDescent="0.3">
      <c r="A2" s="50" t="s">
        <v>33</v>
      </c>
      <c r="B2" s="910"/>
      <c r="C2" s="910"/>
      <c r="D2" s="910"/>
    </row>
    <row r="3" spans="1:4" s="2" customFormat="1" ht="13" x14ac:dyDescent="0.3">
      <c r="A3" s="51" t="s">
        <v>32</v>
      </c>
      <c r="B3" s="910" t="s">
        <v>70</v>
      </c>
      <c r="C3" s="910"/>
      <c r="D3" s="910"/>
    </row>
    <row r="4" spans="1:4" s="2" customFormat="1" ht="13" x14ac:dyDescent="0.3">
      <c r="A4" s="50" t="s">
        <v>2</v>
      </c>
      <c r="B4" s="911">
        <f ca="1">NOW()</f>
        <v>45680.292758449075</v>
      </c>
      <c r="C4" s="911"/>
      <c r="D4" s="911"/>
    </row>
    <row r="5" spans="1:4" s="2" customFormat="1" ht="13" x14ac:dyDescent="0.3">
      <c r="A5" s="52"/>
    </row>
    <row r="6" spans="1:4" s="2" customFormat="1" ht="13" x14ac:dyDescent="0.3">
      <c r="A6" s="2" t="s">
        <v>98</v>
      </c>
      <c r="B6" s="53">
        <f>'PRIV-VALID.'!B69*'PRIV-VALID.'!B77</f>
        <v>0</v>
      </c>
      <c r="C6" s="53"/>
    </row>
    <row r="7" spans="1:4" s="2" customFormat="1" ht="13" x14ac:dyDescent="0.3">
      <c r="A7" s="2" t="s">
        <v>99</v>
      </c>
      <c r="B7" s="53">
        <f>'PRIV-VALID.'!B69*'PRIV-VALID.'!B78</f>
        <v>0</v>
      </c>
      <c r="C7" s="53"/>
    </row>
    <row r="8" spans="1:4" s="2" customFormat="1" ht="13" x14ac:dyDescent="0.3">
      <c r="A8" s="2" t="s">
        <v>100</v>
      </c>
      <c r="B8" s="53">
        <f>'PRIV-VALID.'!B69*'PRIV-VALID.'!B79</f>
        <v>0</v>
      </c>
      <c r="C8" s="53"/>
    </row>
    <row r="9" spans="1:4" s="2" customFormat="1" ht="13" x14ac:dyDescent="0.3">
      <c r="A9" s="2" t="s">
        <v>101</v>
      </c>
      <c r="B9" s="53">
        <f>'PRIV-VALID.'!B80</f>
        <v>0</v>
      </c>
      <c r="C9" s="53"/>
    </row>
    <row r="10" spans="1:4" s="2" customFormat="1" ht="13" x14ac:dyDescent="0.3">
      <c r="A10" s="54" t="s">
        <v>102</v>
      </c>
      <c r="B10" s="55">
        <f>B9*12</f>
        <v>0</v>
      </c>
      <c r="C10" s="55"/>
    </row>
    <row r="11" spans="1:4" s="2" customFormat="1" ht="33.65" customHeight="1" x14ac:dyDescent="0.3">
      <c r="A11" s="56" t="s">
        <v>103</v>
      </c>
      <c r="B11" s="55">
        <f>'PRIV-VALID.'!B81*12</f>
        <v>0</v>
      </c>
      <c r="C11" s="55"/>
    </row>
    <row r="12" spans="1:4" s="2" customFormat="1" ht="13" x14ac:dyDescent="0.3">
      <c r="A12" s="2" t="s">
        <v>104</v>
      </c>
      <c r="B12" s="53">
        <f>B10*0.4</f>
        <v>0</v>
      </c>
      <c r="C12" s="53"/>
    </row>
    <row r="13" spans="1:4" s="2" customFormat="1" ht="13" x14ac:dyDescent="0.3">
      <c r="A13" s="54" t="s">
        <v>105</v>
      </c>
      <c r="B13" s="55">
        <f>B12*'PRIV-VALID.'!B67</f>
        <v>0</v>
      </c>
      <c r="C13" s="55"/>
    </row>
    <row r="14" spans="1:4" s="2" customFormat="1" ht="13" x14ac:dyDescent="0.3">
      <c r="A14" s="2" t="s">
        <v>106</v>
      </c>
      <c r="B14" s="53">
        <f>'PRIV-VALID.'!B83*0.2</f>
        <v>0</v>
      </c>
      <c r="C14" s="53"/>
    </row>
    <row r="15" spans="1:4" s="2" customFormat="1" ht="13" x14ac:dyDescent="0.3">
      <c r="A15" s="54" t="s">
        <v>107</v>
      </c>
      <c r="B15" s="55">
        <f>B14*'PRIV-VALID.'!B67</f>
        <v>0</v>
      </c>
      <c r="C15" s="55"/>
    </row>
    <row r="16" spans="1:4" s="2" customFormat="1" ht="13" x14ac:dyDescent="0.3">
      <c r="A16" s="2" t="s">
        <v>2617</v>
      </c>
      <c r="B16" s="53">
        <f ca="1">B10*0.8*'PRIV-VALID.'!B32</f>
        <v>0</v>
      </c>
      <c r="C16" s="53"/>
    </row>
    <row r="17" spans="1:23" s="2" customFormat="1" ht="13" x14ac:dyDescent="0.3">
      <c r="A17" s="54" t="s">
        <v>109</v>
      </c>
      <c r="B17" s="53">
        <f ca="1">B16*'PRIV-VALID.'!B32</f>
        <v>0</v>
      </c>
      <c r="C17" s="53"/>
    </row>
    <row r="18" spans="1:23" s="2" customFormat="1" ht="13" x14ac:dyDescent="0.3">
      <c r="A18" s="2" t="s">
        <v>110</v>
      </c>
      <c r="B18" s="53">
        <f>'PRIV-VALID.'!B83*0.6*'PRIV-VALID.'!B33</f>
        <v>0</v>
      </c>
      <c r="C18" s="53"/>
    </row>
    <row r="19" spans="1:23" s="2" customFormat="1" ht="13" x14ac:dyDescent="0.3">
      <c r="A19" s="2" t="s">
        <v>111</v>
      </c>
      <c r="B19" s="53">
        <f>'PRIV-VALID.'!B69*0.4*'PRIV-VALID.'!B34</f>
        <v>0</v>
      </c>
      <c r="C19" s="53"/>
    </row>
    <row r="20" spans="1:23" s="2" customFormat="1" ht="13" x14ac:dyDescent="0.3">
      <c r="A20" s="2" t="s">
        <v>112</v>
      </c>
      <c r="B20" s="53">
        <f>B19*'PRIV-VALID.'!B34</f>
        <v>0</v>
      </c>
      <c r="C20" s="53"/>
    </row>
    <row r="21" spans="1:23" s="2" customFormat="1" ht="13" x14ac:dyDescent="0.3">
      <c r="A21" s="2" t="s">
        <v>113</v>
      </c>
      <c r="B21" s="53">
        <f>'PRIV-VALID.'!B69*0.15*'PRIV-VALID.'!B67</f>
        <v>0</v>
      </c>
      <c r="C21" s="53"/>
    </row>
    <row r="22" spans="1:23" s="2" customFormat="1" ht="13" x14ac:dyDescent="0.3">
      <c r="A22" s="57" t="s">
        <v>114</v>
      </c>
      <c r="B22" s="58">
        <f>'PRIV-VALID.'!B69*0.9</f>
        <v>0</v>
      </c>
      <c r="C22" s="58"/>
    </row>
    <row r="23" spans="1:23" s="2" customFormat="1" ht="13" x14ac:dyDescent="0.3">
      <c r="A23" s="2" t="s">
        <v>115</v>
      </c>
      <c r="B23" s="53">
        <f ca="1">B13+B15+B16+B18+B19+B21</f>
        <v>0</v>
      </c>
      <c r="C23" s="53"/>
      <c r="D23" s="53">
        <f ca="1">IF(B23&gt;B22,B22,B23)</f>
        <v>0</v>
      </c>
    </row>
    <row r="24" spans="1:23" s="2" customFormat="1" ht="13" x14ac:dyDescent="0.3">
      <c r="A24" s="2" t="s">
        <v>116</v>
      </c>
      <c r="B24" s="53">
        <f ca="1">B16+B18+B19</f>
        <v>0</v>
      </c>
      <c r="C24" s="53"/>
      <c r="D24" s="53">
        <f ca="1">IF(B24&gt;B22,B22,B24)</f>
        <v>0</v>
      </c>
    </row>
    <row r="25" spans="1:23" s="2" customFormat="1" ht="13" x14ac:dyDescent="0.3">
      <c r="J25" s="1253" t="s">
        <v>2618</v>
      </c>
      <c r="K25" s="1253"/>
      <c r="L25" s="1253"/>
      <c r="M25" s="1253"/>
      <c r="N25" s="1253"/>
      <c r="O25" s="1253"/>
      <c r="P25" s="1253"/>
      <c r="R25" s="1253" t="s">
        <v>2619</v>
      </c>
      <c r="S25" s="1253"/>
      <c r="T25" s="1253"/>
      <c r="U25" s="1253"/>
      <c r="V25" s="1253"/>
      <c r="W25" s="1253"/>
    </row>
    <row r="26" spans="1:23" s="2" customFormat="1" ht="13" x14ac:dyDescent="0.3">
      <c r="A26" s="59" t="str">
        <f>Traduzioni!G297</f>
        <v>Reddito in caso di Malattia</v>
      </c>
      <c r="B26" s="59" t="str">
        <f>'calcoli Cliente'!B26</f>
        <v>Redditi / Rendite 1. e 2. pilastro</v>
      </c>
      <c r="C26" s="59" t="str">
        <f>Traduzioni!G320</f>
        <v>3. pilastro</v>
      </c>
      <c r="D26" s="59" t="str">
        <f>'calcoli Cliente'!D26</f>
        <v>Lacune</v>
      </c>
      <c r="J26" s="347" t="str">
        <f>A26</f>
        <v>Reddito in caso di Malattia</v>
      </c>
      <c r="K26" s="347" t="str">
        <f>Traduzioni!G482</f>
        <v>AI</v>
      </c>
      <c r="L26" s="347" t="str">
        <f>Traduzioni!G493</f>
        <v>Rend. suppl. AI figli</v>
      </c>
      <c r="M26" s="347" t="str">
        <f>Traduzioni!G484</f>
        <v>LPP</v>
      </c>
      <c r="N26" s="347" t="str">
        <f>Traduzioni!G494</f>
        <v>Rend. suppl. LPP figli</v>
      </c>
      <c r="O26" s="347" t="str">
        <f>C26</f>
        <v>3. pilastro</v>
      </c>
      <c r="P26" s="347" t="str">
        <f>D26</f>
        <v>Lacune</v>
      </c>
      <c r="R26" s="347" t="str">
        <f>J26</f>
        <v>Reddito in caso di Malattia</v>
      </c>
      <c r="S26" s="347" t="str">
        <f>K26</f>
        <v>AI</v>
      </c>
      <c r="T26" s="347" t="str">
        <f>L26</f>
        <v>Rend. suppl. AI figli</v>
      </c>
      <c r="U26" s="347" t="str">
        <f>M26</f>
        <v>LPP</v>
      </c>
      <c r="V26" s="347" t="str">
        <f>N26</f>
        <v>Rend. suppl. LPP figli</v>
      </c>
      <c r="W26" s="347" t="str">
        <f>P26</f>
        <v>Lacune</v>
      </c>
    </row>
    <row r="27" spans="1:23" s="2" customFormat="1" ht="13" x14ac:dyDescent="0.3">
      <c r="A27" s="59" t="str">
        <f>Traduzioni!G303</f>
        <v>Fabbisogno</v>
      </c>
      <c r="B27" s="60">
        <f ca="1">'PRIV-VALID.'!B70*B53</f>
        <v>0</v>
      </c>
      <c r="C27" s="60"/>
      <c r="D27" s="60">
        <v>0</v>
      </c>
      <c r="J27" s="59" t="str">
        <f>Traduzioni!G298</f>
        <v>Fabbisogno mensile</v>
      </c>
      <c r="K27" s="351">
        <f ca="1">B27/12</f>
        <v>0</v>
      </c>
      <c r="L27" s="351"/>
      <c r="M27" s="351"/>
      <c r="N27" s="351"/>
      <c r="O27" s="351"/>
      <c r="P27" s="351"/>
      <c r="R27" s="347" t="str">
        <f>J27</f>
        <v>Fabbisogno mensile</v>
      </c>
      <c r="S27" s="352">
        <f ca="1">K27</f>
        <v>0</v>
      </c>
      <c r="T27" s="352"/>
      <c r="U27" s="352"/>
      <c r="V27" s="352"/>
      <c r="W27" s="353"/>
    </row>
    <row r="28" spans="1:23" s="2" customFormat="1" ht="13" x14ac:dyDescent="0.3">
      <c r="A28" s="59" t="str">
        <f>Traduzioni!G299</f>
        <v>Malattia: I.G. - 720 gg.</v>
      </c>
      <c r="B28" s="60">
        <f ca="1">B6*B53</f>
        <v>0</v>
      </c>
      <c r="C28" s="60"/>
      <c r="D28" s="60">
        <f ca="1">IF((B27-B28)&lt;0,0,B27-B28)</f>
        <v>0</v>
      </c>
      <c r="J28" s="59" t="str">
        <f>A28</f>
        <v>Malattia: I.G. - 720 gg.</v>
      </c>
      <c r="K28" s="351">
        <f ca="1">B28/12</f>
        <v>0</v>
      </c>
      <c r="L28" s="351"/>
      <c r="M28" s="351"/>
      <c r="N28" s="351"/>
      <c r="O28" s="351"/>
      <c r="P28" s="351">
        <f ca="1">D28/12</f>
        <v>0</v>
      </c>
      <c r="R28" s="347" t="str">
        <f>A28</f>
        <v>Malattia: I.G. - 720 gg.</v>
      </c>
      <c r="S28" s="352">
        <f ca="1">K28</f>
        <v>0</v>
      </c>
      <c r="T28" s="352"/>
      <c r="U28" s="352"/>
      <c r="V28" s="352"/>
      <c r="W28" s="353">
        <f ca="1">IF((S27-S28)&lt;0,0,S27-S28)</f>
        <v>0</v>
      </c>
    </row>
    <row r="29" spans="1:23" s="2" customFormat="1" ht="13" x14ac:dyDescent="0.3">
      <c r="A29" s="59" t="str">
        <f>Traduzioni!G300</f>
        <v>Inv. con suppl. x figli &lt; 18/25 anni</v>
      </c>
      <c r="B29" s="60">
        <f ca="1">B10*'Parametri generali'!C27+B13*'Parametri generali'!C27+'PRIV-VALID.'!B83+B15*B53</f>
        <v>0</v>
      </c>
      <c r="C29" s="60">
        <f>'PRIV-VALID.'!B96 + 'PRIV-VALID.'!B93*'PRIV-VALID.'!B95</f>
        <v>0</v>
      </c>
      <c r="D29" s="60">
        <f ca="1">B27-B29-C29</f>
        <v>0</v>
      </c>
      <c r="J29" s="59" t="str">
        <f>A29</f>
        <v>Inv. con suppl. x figli &lt; 18/25 anni</v>
      </c>
      <c r="K29" s="351">
        <f ca="1">B10*'Parametri generali'!B27/12</f>
        <v>0</v>
      </c>
      <c r="L29" s="351">
        <f ca="1">B13*'Parametri generali'!B27/12</f>
        <v>0</v>
      </c>
      <c r="M29" s="351">
        <f>'PRIV-VALID.'!B83/12</f>
        <v>0</v>
      </c>
      <c r="N29" s="351">
        <f>B15/12</f>
        <v>0</v>
      </c>
      <c r="O29" s="351">
        <f>C29/12</f>
        <v>0</v>
      </c>
      <c r="P29" s="351">
        <f ca="1">IF((K27-K29-L29-M29-N29-O29)&lt;0,0,K27-K29-L29-M29-N29-O29)</f>
        <v>0</v>
      </c>
      <c r="Q29" s="2">
        <f ca="1">P29*12</f>
        <v>0</v>
      </c>
      <c r="R29" s="347" t="str">
        <f>J29</f>
        <v>Inv. con suppl. x figli &lt; 18/25 anni</v>
      </c>
      <c r="S29" s="352">
        <f ca="1">K29</f>
        <v>0</v>
      </c>
      <c r="T29" s="352">
        <f ca="1">L29</f>
        <v>0</v>
      </c>
      <c r="U29" s="352">
        <f>M29</f>
        <v>0</v>
      </c>
      <c r="V29" s="352">
        <f>N29</f>
        <v>0</v>
      </c>
      <c r="W29" s="353">
        <f ca="1">IF((S27-S29-U29-T29-V29)&lt;0,0,S27-S29-U29-T29-V29)</f>
        <v>0</v>
      </c>
    </row>
    <row r="30" spans="1:23" s="2" customFormat="1" ht="13" x14ac:dyDescent="0.3">
      <c r="A30" s="59" t="str">
        <f>Traduzioni!G301</f>
        <v>Inv. (senza Figli)</v>
      </c>
      <c r="B30" s="60">
        <f ca="1">B10*'Parametri generali'!C27+'PRIV-VALID.'!B83*B53</f>
        <v>0</v>
      </c>
      <c r="C30" s="60">
        <f>'PRIV-VALID.'!B96+ 'PRIV-VALID.'!B93*'PRIV-VALID.'!B95</f>
        <v>0</v>
      </c>
      <c r="D30" s="60">
        <f ca="1">B27-B30-C30</f>
        <v>0</v>
      </c>
      <c r="J30" s="59" t="str">
        <f>A30</f>
        <v>Inv. (senza Figli)</v>
      </c>
      <c r="K30" s="351">
        <f ca="1">B10*'Parametri generali'!B27/12</f>
        <v>0</v>
      </c>
      <c r="L30" s="351"/>
      <c r="M30" s="351">
        <f>'PRIV-VALID.'!B83/12</f>
        <v>0</v>
      </c>
      <c r="N30" s="351"/>
      <c r="O30" s="351">
        <f>C30/12</f>
        <v>0</v>
      </c>
      <c r="P30" s="351">
        <f ca="1">IF((K27-K30-L30-M30-N30-O30)&lt;0,0,K27-K30-L30-M30-N30-O30)</f>
        <v>0</v>
      </c>
      <c r="Q30" s="2">
        <f ca="1">P30*12</f>
        <v>0</v>
      </c>
      <c r="R30" s="347" t="str">
        <f>J30</f>
        <v>Inv. (senza Figli)</v>
      </c>
      <c r="S30" s="352">
        <f ca="1">K30</f>
        <v>0</v>
      </c>
      <c r="T30" s="352"/>
      <c r="U30" s="352">
        <f>M30</f>
        <v>0</v>
      </c>
      <c r="V30" s="352"/>
      <c r="W30" s="353">
        <f ca="1">IF((S27-S30-U30)&lt;0,0,S27-S30-U30)</f>
        <v>0</v>
      </c>
    </row>
    <row r="31" spans="1:23" s="2" customFormat="1" ht="13" x14ac:dyDescent="0.3">
      <c r="J31" s="1253" t="s">
        <v>2618</v>
      </c>
      <c r="K31" s="1253"/>
      <c r="L31" s="1253"/>
      <c r="M31" s="1253"/>
      <c r="N31" s="1253"/>
      <c r="O31" s="1253"/>
      <c r="P31" s="1253"/>
      <c r="R31" s="1253" t="s">
        <v>2619</v>
      </c>
      <c r="S31" s="1253"/>
      <c r="T31" s="1253"/>
      <c r="U31" s="1253"/>
      <c r="V31" s="1253"/>
      <c r="W31" s="1253"/>
    </row>
    <row r="32" spans="1:23" s="2" customFormat="1" ht="13" x14ac:dyDescent="0.3">
      <c r="A32" s="59" t="str">
        <f>Traduzioni!G302</f>
        <v>Vedovanza caso malattia</v>
      </c>
      <c r="B32" s="59" t="str">
        <f>B26</f>
        <v>Redditi / Rendite 1. e 2. pilastro</v>
      </c>
      <c r="C32" s="59" t="str">
        <f>C26</f>
        <v>3. pilastro</v>
      </c>
      <c r="D32" s="59" t="str">
        <f>D26</f>
        <v>Lacune</v>
      </c>
      <c r="F32" s="2" t="s">
        <v>1899</v>
      </c>
      <c r="G32" s="2" t="s">
        <v>1900</v>
      </c>
      <c r="J32" s="360" t="str">
        <f>A32</f>
        <v>Vedovanza caso malattia</v>
      </c>
      <c r="K32" s="360" t="str">
        <f>Traduzioni!G481</f>
        <v>AVS</v>
      </c>
      <c r="L32" s="360" t="str">
        <f>Traduzioni!G496</f>
        <v>Rend. suppl. AVS figli</v>
      </c>
      <c r="M32" s="360" t="str">
        <f>Traduzioni!G484</f>
        <v>LPP</v>
      </c>
      <c r="N32" s="360" t="str">
        <f>Traduzioni!G494</f>
        <v>Rend. suppl. LPP figli</v>
      </c>
      <c r="O32" s="360" t="str">
        <f>C32</f>
        <v>3. pilastro</v>
      </c>
      <c r="P32" s="360" t="str">
        <f>D32</f>
        <v>Lacune</v>
      </c>
      <c r="R32" s="360" t="str">
        <f>J32</f>
        <v>Vedovanza caso malattia</v>
      </c>
      <c r="S32" s="360" t="str">
        <f>K32</f>
        <v>AVS</v>
      </c>
      <c r="T32" s="360" t="str">
        <f>L32</f>
        <v>Rend. suppl. AVS figli</v>
      </c>
      <c r="U32" s="360" t="str">
        <f>M32</f>
        <v>LPP</v>
      </c>
      <c r="V32" s="360" t="str">
        <f>N32</f>
        <v>Rend. suppl. LPP figli</v>
      </c>
      <c r="W32" s="360" t="str">
        <f>P32</f>
        <v>Lacune</v>
      </c>
    </row>
    <row r="33" spans="1:23" s="2" customFormat="1" ht="13" x14ac:dyDescent="0.3">
      <c r="A33" s="59" t="str">
        <f>Traduzioni!G303</f>
        <v>Fabbisogno</v>
      </c>
      <c r="B33" s="60">
        <f>'PRIV-VALID.'!B16</f>
        <v>0</v>
      </c>
      <c r="C33" s="60"/>
      <c r="D33" s="59"/>
      <c r="J33" s="360" t="str">
        <f>J27</f>
        <v>Fabbisogno mensile</v>
      </c>
      <c r="K33" s="361">
        <f>B33/12</f>
        <v>0</v>
      </c>
      <c r="L33" s="361"/>
      <c r="M33" s="361"/>
      <c r="N33" s="361"/>
      <c r="O33" s="361"/>
      <c r="P33" s="361"/>
      <c r="R33" s="360" t="str">
        <f t="shared" ref="R33:V35" si="0">J33</f>
        <v>Fabbisogno mensile</v>
      </c>
      <c r="S33" s="361">
        <f t="shared" si="0"/>
        <v>0</v>
      </c>
      <c r="T33" s="361"/>
      <c r="U33" s="361"/>
      <c r="V33" s="361"/>
      <c r="W33" s="361"/>
    </row>
    <row r="34" spans="1:23" s="2" customFormat="1" ht="13" x14ac:dyDescent="0.3">
      <c r="A34" s="59" t="str">
        <f>Traduzioni!G304</f>
        <v>Vedovanza (con Figli):</v>
      </c>
      <c r="B34" s="60">
        <f ca="1">(B16+B13+B18+B15*B53)</f>
        <v>0</v>
      </c>
      <c r="C34" s="60">
        <f ca="1">IF(D34&gt;0,D34/2,0)</f>
        <v>0</v>
      </c>
      <c r="D34" s="60">
        <f ca="1">B33-B34</f>
        <v>0</v>
      </c>
      <c r="F34" s="272">
        <f>B33*70%</f>
        <v>0</v>
      </c>
      <c r="G34" s="272">
        <f ca="1">F34-B34</f>
        <v>0</v>
      </c>
      <c r="J34" s="360" t="str">
        <f>A34</f>
        <v>Vedovanza (con Figli):</v>
      </c>
      <c r="K34" s="361">
        <f ca="1">($B16+$B55)*'PRIV-VALID.'!$B87/12</f>
        <v>0</v>
      </c>
      <c r="L34" s="361">
        <f ca="1">($B13+$B55)*'PRIV-VALID.'!$B87/12</f>
        <v>0</v>
      </c>
      <c r="M34" s="361">
        <f ca="1">($B18+$B55)*'PRIV-VALID.'!$B87/12</f>
        <v>0</v>
      </c>
      <c r="N34" s="361">
        <f ca="1">($B15+$B55)*'PRIV-VALID.'!$B87/12</f>
        <v>0</v>
      </c>
      <c r="O34" s="361">
        <f ca="1">K33-K34-L34-M34-N34</f>
        <v>0</v>
      </c>
      <c r="P34" s="361"/>
      <c r="Q34" s="2">
        <f ca="1">O34*12</f>
        <v>0</v>
      </c>
      <c r="R34" s="360" t="str">
        <f t="shared" si="0"/>
        <v>Vedovanza (con Figli):</v>
      </c>
      <c r="S34" s="361">
        <f t="shared" ca="1" si="0"/>
        <v>0</v>
      </c>
      <c r="T34" s="361">
        <f t="shared" ca="1" si="0"/>
        <v>0</v>
      </c>
      <c r="U34" s="361">
        <f t="shared" ca="1" si="0"/>
        <v>0</v>
      </c>
      <c r="V34" s="361">
        <f t="shared" ca="1" si="0"/>
        <v>0</v>
      </c>
      <c r="W34" s="361">
        <f ca="1">IF((S33-S34-T34-U34-V34)&lt;0,0,S33-S34-T34-U34-V34)</f>
        <v>0</v>
      </c>
    </row>
    <row r="35" spans="1:23" s="2" customFormat="1" ht="13" x14ac:dyDescent="0.3">
      <c r="A35" s="59" t="str">
        <f>Traduzioni!G305</f>
        <v>Vedovanza (senza Figli):</v>
      </c>
      <c r="B35" s="60">
        <f ca="1">B18*B53</f>
        <v>0</v>
      </c>
      <c r="C35" s="60">
        <f ca="1">IF(D35&gt;0,D35/2,0)</f>
        <v>0</v>
      </c>
      <c r="D35" s="60">
        <f ca="1">B33-B35</f>
        <v>0</v>
      </c>
      <c r="F35" s="272">
        <f>F34</f>
        <v>0</v>
      </c>
      <c r="G35" s="272">
        <f ca="1">G34</f>
        <v>0</v>
      </c>
      <c r="J35" s="360" t="str">
        <f>A35</f>
        <v>Vedovanza (senza Figli):</v>
      </c>
      <c r="K35" s="361">
        <f ca="1">B17/12</f>
        <v>0</v>
      </c>
      <c r="L35" s="361"/>
      <c r="M35" s="361">
        <f ca="1">M34</f>
        <v>0</v>
      </c>
      <c r="N35" s="361"/>
      <c r="O35" s="361">
        <f ca="1">K33-K35-M35</f>
        <v>0</v>
      </c>
      <c r="P35" s="361"/>
      <c r="Q35" s="2">
        <f ca="1">O35*12</f>
        <v>0</v>
      </c>
      <c r="R35" s="360" t="str">
        <f t="shared" si="0"/>
        <v>Vedovanza (senza Figli):</v>
      </c>
      <c r="S35" s="361">
        <f t="shared" ca="1" si="0"/>
        <v>0</v>
      </c>
      <c r="T35" s="361"/>
      <c r="U35" s="361">
        <f t="shared" ca="1" si="0"/>
        <v>0</v>
      </c>
      <c r="V35" s="361"/>
      <c r="W35" s="361">
        <f ca="1">IF((S33-S35-T35-U35-V35)&lt;0,0,S33-S35-T35-U35-V35)</f>
        <v>0</v>
      </c>
    </row>
    <row r="36" spans="1:23" s="2" customFormat="1" ht="13" x14ac:dyDescent="0.3"/>
    <row r="37" spans="1:23" s="2" customFormat="1" ht="13" x14ac:dyDescent="0.3">
      <c r="A37" s="474" t="str">
        <f>Traduzioni!G306</f>
        <v>Reddito in caso di Infortunio</v>
      </c>
      <c r="B37" s="474" t="str">
        <f>B26</f>
        <v>Redditi / Rendite 1. e 2. pilastro</v>
      </c>
      <c r="C37" s="474" t="str">
        <f>C32</f>
        <v>3. pilastro</v>
      </c>
      <c r="D37" s="474" t="str">
        <f>D32</f>
        <v>Lacune</v>
      </c>
      <c r="J37" s="360" t="str">
        <f>A37</f>
        <v>Reddito in caso di Infortunio</v>
      </c>
      <c r="K37" s="360" t="str">
        <f t="shared" ref="K37:M42" si="1">B37</f>
        <v>Redditi / Rendite 1. e 2. pilastro</v>
      </c>
      <c r="L37" s="360" t="str">
        <f t="shared" si="1"/>
        <v>3. pilastro</v>
      </c>
      <c r="M37" s="360" t="str">
        <f t="shared" si="1"/>
        <v>Lacune</v>
      </c>
    </row>
    <row r="38" spans="1:23" s="2" customFormat="1" ht="13" x14ac:dyDescent="0.3">
      <c r="A38" s="474" t="str">
        <f>Traduzioni!G303</f>
        <v>Fabbisogno</v>
      </c>
      <c r="B38" s="475">
        <f ca="1">'PRIV-VALID.'!B70*B53</f>
        <v>0</v>
      </c>
      <c r="C38" s="475"/>
      <c r="D38" s="474"/>
      <c r="J38" s="360" t="str">
        <f>J33</f>
        <v>Fabbisogno mensile</v>
      </c>
      <c r="K38" s="361">
        <f ca="1">B38/12</f>
        <v>0</v>
      </c>
      <c r="L38" s="361"/>
      <c r="M38" s="361"/>
    </row>
    <row r="39" spans="1:23" s="2" customFormat="1" ht="13" x14ac:dyDescent="0.3">
      <c r="A39" s="474" t="str">
        <f>Traduzioni!G308</f>
        <v>i.g. Inortunio</v>
      </c>
      <c r="B39" s="475">
        <f ca="1">B7*B53</f>
        <v>0</v>
      </c>
      <c r="C39" s="475"/>
      <c r="D39" s="475">
        <f ca="1">IF((B38-B39)&lt;0,0,B38-B39)</f>
        <v>0</v>
      </c>
      <c r="J39" s="360" t="str">
        <f t="shared" ref="J39:J45" si="2">A39</f>
        <v>i.g. Inortunio</v>
      </c>
      <c r="K39" s="361">
        <f ca="1">B39/12</f>
        <v>0</v>
      </c>
      <c r="L39" s="361"/>
      <c r="M39" s="361">
        <f ca="1">D39/12</f>
        <v>0</v>
      </c>
    </row>
    <row r="40" spans="1:23" s="2" customFormat="1" ht="13" x14ac:dyDescent="0.3">
      <c r="A40" s="474" t="str">
        <f>Traduzioni!G309</f>
        <v>Inv. Infortunio</v>
      </c>
      <c r="B40" s="475">
        <f ca="1">B8*B53</f>
        <v>0</v>
      </c>
      <c r="C40" s="475"/>
      <c r="D40" s="475">
        <f ca="1">IF((B38-B40)&lt;0,0,B38-B40)</f>
        <v>0</v>
      </c>
      <c r="J40" s="360" t="str">
        <f t="shared" si="2"/>
        <v>Inv. Infortunio</v>
      </c>
      <c r="K40" s="361">
        <f ca="1">B40/12</f>
        <v>0</v>
      </c>
      <c r="L40" s="361"/>
      <c r="M40" s="361">
        <f ca="1">D40/12</f>
        <v>0</v>
      </c>
    </row>
    <row r="41" spans="1:23" s="2" customFormat="1" ht="13" x14ac:dyDescent="0.3">
      <c r="B41" s="53"/>
      <c r="C41" s="53"/>
      <c r="D41" s="53"/>
    </row>
    <row r="42" spans="1:23" s="2" customFormat="1" ht="13" x14ac:dyDescent="0.3">
      <c r="A42" s="474" t="str">
        <f>Traduzioni!G310</f>
        <v>Vedovanza in caso di Infortunio</v>
      </c>
      <c r="B42" s="475" t="str">
        <f>B37</f>
        <v>Redditi / Rendite 1. e 2. pilastro</v>
      </c>
      <c r="C42" s="475" t="str">
        <f>C37</f>
        <v>3. pilastro</v>
      </c>
      <c r="D42" s="475" t="str">
        <f>D37</f>
        <v>Lacune</v>
      </c>
      <c r="J42" s="360" t="str">
        <f t="shared" si="2"/>
        <v>Vedovanza in caso di Infortunio</v>
      </c>
      <c r="K42" s="360" t="str">
        <f t="shared" si="1"/>
        <v>Redditi / Rendite 1. e 2. pilastro</v>
      </c>
      <c r="L42" s="360" t="str">
        <f t="shared" si="1"/>
        <v>3. pilastro</v>
      </c>
      <c r="M42" s="360" t="str">
        <f t="shared" si="1"/>
        <v>Lacune</v>
      </c>
    </row>
    <row r="43" spans="1:23" s="2" customFormat="1" ht="13" x14ac:dyDescent="0.3">
      <c r="A43" s="474" t="str">
        <f>Traduzioni!G303</f>
        <v>Fabbisogno</v>
      </c>
      <c r="B43" s="475">
        <f>B33</f>
        <v>0</v>
      </c>
      <c r="C43" s="475"/>
      <c r="D43" s="475"/>
      <c r="J43" s="360" t="str">
        <f>J38</f>
        <v>Fabbisogno mensile</v>
      </c>
      <c r="K43" s="361">
        <f>B43/12</f>
        <v>0</v>
      </c>
      <c r="L43" s="361"/>
      <c r="M43" s="361"/>
    </row>
    <row r="44" spans="1:23" s="2" customFormat="1" ht="13" x14ac:dyDescent="0.3">
      <c r="A44" s="474" t="str">
        <f>Traduzioni!G312</f>
        <v>Vedovanza (con Figli)</v>
      </c>
      <c r="B44" s="475">
        <f ca="1">IF(B23*B53&gt;D23,D23,B23*B53)</f>
        <v>0</v>
      </c>
      <c r="C44" s="475"/>
      <c r="D44" s="475">
        <f ca="1">IF((B43-B44)&lt;0,0,B43-B44)</f>
        <v>0</v>
      </c>
      <c r="J44" s="360" t="str">
        <f t="shared" si="2"/>
        <v>Vedovanza (con Figli)</v>
      </c>
      <c r="K44" s="361">
        <f ca="1">B44/12</f>
        <v>0</v>
      </c>
      <c r="L44" s="361"/>
      <c r="M44" s="361">
        <f ca="1">D44/12</f>
        <v>0</v>
      </c>
    </row>
    <row r="45" spans="1:23" s="2" customFormat="1" ht="13" x14ac:dyDescent="0.3">
      <c r="A45" s="474" t="str">
        <f>Traduzioni!G313</f>
        <v>Vedovanza (senza Figli)</v>
      </c>
      <c r="B45" s="475">
        <f ca="1">IF((B17+B20+B18*B53)&gt;D24,D24,(B17+B20+B18*B53))</f>
        <v>0</v>
      </c>
      <c r="C45" s="475"/>
      <c r="D45" s="475">
        <f ca="1">IF((B43-B45)&lt;0,0,B43-B45)</f>
        <v>0</v>
      </c>
      <c r="J45" s="360" t="str">
        <f t="shared" si="2"/>
        <v>Vedovanza (senza Figli)</v>
      </c>
      <c r="K45" s="361">
        <f ca="1">B45/12</f>
        <v>0</v>
      </c>
      <c r="L45" s="361"/>
      <c r="M45" s="361">
        <f ca="1">D45/12</f>
        <v>0</v>
      </c>
    </row>
    <row r="46" spans="1:23" s="2" customFormat="1" ht="13" x14ac:dyDescent="0.3">
      <c r="J46" s="1255" t="s">
        <v>2634</v>
      </c>
      <c r="K46" s="1255"/>
      <c r="L46" s="1255"/>
      <c r="M46" s="1255"/>
      <c r="N46" s="1255"/>
      <c r="P46" s="1254" t="s">
        <v>2619</v>
      </c>
      <c r="Q46" s="1254"/>
      <c r="R46" s="1254"/>
      <c r="S46" s="1254"/>
      <c r="T46" s="1254"/>
    </row>
    <row r="47" spans="1:23" s="2" customFormat="1" ht="13" x14ac:dyDescent="0.3">
      <c r="A47" s="59" t="str">
        <f>Traduzioni!G314</f>
        <v>Pensione (senza Splitting:)</v>
      </c>
      <c r="B47" s="60" t="str">
        <f>B42</f>
        <v>Redditi / Rendite 1. e 2. pilastro</v>
      </c>
      <c r="C47" s="60" t="str">
        <f>C42</f>
        <v>3. pilastro</v>
      </c>
      <c r="D47" s="60" t="str">
        <f>D42</f>
        <v>Lacune</v>
      </c>
      <c r="J47" s="360" t="str">
        <f>A47</f>
        <v>Pensione (senza Splitting:)</v>
      </c>
      <c r="K47" s="360" t="str">
        <f>K32</f>
        <v>AVS</v>
      </c>
      <c r="L47" s="360" t="str">
        <f>M32</f>
        <v>LPP</v>
      </c>
      <c r="M47" s="360" t="str">
        <f>O32</f>
        <v>3. pilastro</v>
      </c>
      <c r="N47" s="360" t="str">
        <f>P32</f>
        <v>Lacune</v>
      </c>
      <c r="P47" s="360" t="str">
        <f>J47</f>
        <v>Pensione (senza Splitting:)</v>
      </c>
      <c r="Q47" s="360" t="str">
        <f t="shared" ref="Q47:T50" si="3">K47</f>
        <v>AVS</v>
      </c>
      <c r="R47" s="360" t="str">
        <f t="shared" si="3"/>
        <v>LPP</v>
      </c>
      <c r="S47" s="360" t="str">
        <f t="shared" si="3"/>
        <v>3. pilastro</v>
      </c>
      <c r="T47" s="360" t="str">
        <f t="shared" si="3"/>
        <v>Lacune</v>
      </c>
    </row>
    <row r="48" spans="1:23" s="2" customFormat="1" ht="13" x14ac:dyDescent="0.3">
      <c r="A48" s="59" t="str">
        <f>Traduzioni!G303</f>
        <v>Fabbisogno</v>
      </c>
      <c r="B48" s="60">
        <f ca="1">B38*B53</f>
        <v>0</v>
      </c>
      <c r="C48" s="60"/>
      <c r="D48" s="59"/>
      <c r="J48" s="360" t="str">
        <f>J33</f>
        <v>Fabbisogno mensile</v>
      </c>
      <c r="K48" s="361">
        <f ca="1">B48/12</f>
        <v>0</v>
      </c>
      <c r="L48" s="361"/>
      <c r="M48" s="361"/>
      <c r="N48" s="361"/>
      <c r="P48" s="360" t="str">
        <f t="shared" ref="P48:P50" si="4">J48</f>
        <v>Fabbisogno mensile</v>
      </c>
      <c r="Q48" s="361">
        <f t="shared" ca="1" si="3"/>
        <v>0</v>
      </c>
      <c r="R48" s="361"/>
      <c r="S48" s="361"/>
      <c r="T48" s="361"/>
    </row>
    <row r="49" spans="1:20" s="2" customFormat="1" ht="13" x14ac:dyDescent="0.3">
      <c r="A49" s="59" t="str">
        <f>Traduzioni!G316</f>
        <v>AVS + LPP:</v>
      </c>
      <c r="B49" s="63">
        <f ca="1">B10+'PRIV-VALID.'!B84*B53</f>
        <v>0</v>
      </c>
      <c r="C49" s="63">
        <f>'PRIV-VALID.'!B97*6.8%</f>
        <v>0</v>
      </c>
      <c r="D49" s="63">
        <f ca="1">B48-B49-C49</f>
        <v>0</v>
      </c>
      <c r="J49" s="360" t="str">
        <f>A47</f>
        <v>Pensione (senza Splitting:)</v>
      </c>
      <c r="K49" s="361">
        <f ca="1">B10*B55/12</f>
        <v>0</v>
      </c>
      <c r="L49" s="361">
        <f>'PRIV-VALID.'!B84/12</f>
        <v>0</v>
      </c>
      <c r="M49" s="361">
        <f>C49/12</f>
        <v>0</v>
      </c>
      <c r="N49" s="361">
        <f ca="1">IF((K48-K49-L49-M49)&lt;0,0,K48-K49-L49-M49)</f>
        <v>0</v>
      </c>
      <c r="O49" s="2">
        <f ca="1">N49*12</f>
        <v>0</v>
      </c>
      <c r="P49" s="360" t="str">
        <f t="shared" si="4"/>
        <v>Pensione (senza Splitting:)</v>
      </c>
      <c r="Q49" s="361">
        <f t="shared" ca="1" si="3"/>
        <v>0</v>
      </c>
      <c r="R49" s="361">
        <f t="shared" si="3"/>
        <v>0</v>
      </c>
      <c r="S49" s="361"/>
      <c r="T49" s="361">
        <f ca="1">IF((Q48-Q49-R49-S49)&lt;0,0,Q48-Q49-R49-S49)</f>
        <v>0</v>
      </c>
    </row>
    <row r="50" spans="1:20" s="2" customFormat="1" ht="13" x14ac:dyDescent="0.3">
      <c r="A50" s="59" t="str">
        <f>Traduzioni!G317</f>
        <v>Con splitting:</v>
      </c>
      <c r="B50" s="60">
        <f ca="1">B11+'PRIV-VALID.'!B84*B53</f>
        <v>0</v>
      </c>
      <c r="C50" s="60">
        <f>'PRIV-VALID.'!B97*6.8%</f>
        <v>0</v>
      </c>
      <c r="D50" s="60">
        <f ca="1">B48-B50-C50</f>
        <v>0</v>
      </c>
      <c r="J50" s="360" t="str">
        <f>A50</f>
        <v>Con splitting:</v>
      </c>
      <c r="K50" s="361">
        <f>B11/12</f>
        <v>0</v>
      </c>
      <c r="L50" s="361">
        <f>L49</f>
        <v>0</v>
      </c>
      <c r="M50" s="361">
        <f>C50/12</f>
        <v>0</v>
      </c>
      <c r="N50" s="361">
        <f ca="1">IF((K48-K50-L50-M50)&lt;0,0,K48-K50-L50-M50)</f>
        <v>0</v>
      </c>
      <c r="O50" s="2">
        <f ca="1">N50*12</f>
        <v>0</v>
      </c>
      <c r="P50" s="360" t="str">
        <f t="shared" si="4"/>
        <v>Con splitting:</v>
      </c>
      <c r="Q50" s="361">
        <f t="shared" si="3"/>
        <v>0</v>
      </c>
      <c r="R50" s="361">
        <f t="shared" si="3"/>
        <v>0</v>
      </c>
      <c r="S50" s="361"/>
      <c r="T50" s="361">
        <f ca="1">IF((Q48-Q50-R50-S50)&lt;0,0,Q48-Q50-R50-S50)</f>
        <v>0</v>
      </c>
    </row>
    <row r="51" spans="1:20" s="2" customFormat="1" ht="13" x14ac:dyDescent="0.3"/>
    <row r="52" spans="1:20" s="2" customFormat="1" ht="13" x14ac:dyDescent="0.3"/>
    <row r="53" spans="1:20" s="2" customFormat="1" ht="13" x14ac:dyDescent="0.3">
      <c r="A53" s="2" t="s">
        <v>139</v>
      </c>
      <c r="B53" s="2">
        <f ca="1">'calcoli Cliente'!B55</f>
        <v>1</v>
      </c>
    </row>
    <row r="54" spans="1:20" s="2" customFormat="1" ht="13" x14ac:dyDescent="0.3">
      <c r="A54" s="67"/>
      <c r="B54" s="67"/>
      <c r="C54" s="67"/>
      <c r="D54" s="67"/>
    </row>
    <row r="55" spans="1:20" s="2" customFormat="1" ht="13" x14ac:dyDescent="0.3">
      <c r="A55" s="2" t="s">
        <v>139</v>
      </c>
      <c r="B55" s="2">
        <f ca="1">B53</f>
        <v>1</v>
      </c>
      <c r="C55" s="67"/>
      <c r="D55" s="67"/>
    </row>
    <row r="56" spans="1:20" s="2" customFormat="1" ht="13" x14ac:dyDescent="0.3">
      <c r="A56" s="67"/>
      <c r="B56" s="67"/>
      <c r="C56" s="67"/>
      <c r="D56" s="67"/>
    </row>
    <row r="57" spans="1:20" s="2" customFormat="1" ht="13" x14ac:dyDescent="0.3">
      <c r="A57" s="67"/>
      <c r="B57" s="67"/>
      <c r="C57" s="67"/>
      <c r="D57" s="67"/>
    </row>
    <row r="58" spans="1:20" s="2" customFormat="1" ht="13" x14ac:dyDescent="0.3">
      <c r="A58" s="67"/>
      <c r="B58" s="67"/>
      <c r="C58" s="67"/>
      <c r="D58" s="67"/>
    </row>
    <row r="59" spans="1:20" x14ac:dyDescent="0.35">
      <c r="A59" s="68"/>
      <c r="B59" s="68"/>
      <c r="C59" s="68"/>
      <c r="D59" s="68"/>
    </row>
    <row r="60" spans="1:20" x14ac:dyDescent="0.35">
      <c r="A60" s="68"/>
      <c r="B60" s="68"/>
      <c r="C60" s="68"/>
      <c r="D60" s="68"/>
    </row>
    <row r="61" spans="1:20" x14ac:dyDescent="0.35">
      <c r="A61" s="68"/>
      <c r="B61" s="68"/>
      <c r="C61" s="68"/>
      <c r="D61" s="68"/>
    </row>
    <row r="62" spans="1:20" x14ac:dyDescent="0.35">
      <c r="A62" s="68"/>
      <c r="B62" s="68"/>
      <c r="C62" s="68"/>
      <c r="D62" s="68"/>
    </row>
    <row r="63" spans="1:20" x14ac:dyDescent="0.35">
      <c r="A63" s="68"/>
      <c r="B63" s="68"/>
      <c r="C63" s="68"/>
      <c r="D63" s="68"/>
    </row>
    <row r="64" spans="1:20" x14ac:dyDescent="0.35">
      <c r="A64" s="68"/>
      <c r="B64" s="68"/>
      <c r="C64" s="68"/>
      <c r="D64" s="68"/>
    </row>
    <row r="65" spans="1:4" x14ac:dyDescent="0.35">
      <c r="A65" s="68"/>
      <c r="B65" s="68"/>
      <c r="C65" s="68"/>
      <c r="D65" s="68"/>
    </row>
    <row r="66" spans="1:4" x14ac:dyDescent="0.35">
      <c r="A66" s="68"/>
      <c r="B66" s="68"/>
      <c r="C66" s="68"/>
      <c r="D66" s="68"/>
    </row>
    <row r="67" spans="1:4" x14ac:dyDescent="0.35">
      <c r="A67" s="1252" t="s">
        <v>359</v>
      </c>
      <c r="B67" s="1252"/>
    </row>
    <row r="68" spans="1:4" x14ac:dyDescent="0.35">
      <c r="A68" s="182" t="s">
        <v>351</v>
      </c>
      <c r="B68" s="183">
        <f>IF((ANALYSIS!C$31+ANALYSIS!C$32+ANALYSIS!C$33)&gt;1,2,0)</f>
        <v>0</v>
      </c>
    </row>
    <row r="69" spans="1:4" x14ac:dyDescent="0.35">
      <c r="A69" s="182" t="s">
        <v>352</v>
      </c>
      <c r="B69" s="183">
        <f>IF(ANALYSIS!C$20&lt;&gt;2,0,IF('Parametri generali'!$B$6-'Parametri generali'!$B$5&gt;4,1,0))</f>
        <v>0</v>
      </c>
    </row>
    <row r="70" spans="1:4" x14ac:dyDescent="0.35">
      <c r="A70" s="182" t="s">
        <v>1906</v>
      </c>
      <c r="B70" s="183">
        <f ca="1">IF(ANALYSIS!C$20&gt;1,1,IF('Parametri generali'!$B$6-'Parametri generali'!$B$5&gt;4,1,0))</f>
        <v>1</v>
      </c>
    </row>
    <row r="71" spans="1:4" x14ac:dyDescent="0.35">
      <c r="A71" s="184" t="s">
        <v>353</v>
      </c>
      <c r="B71" s="185">
        <f>IF('Parametri generali'!C7&gt;44,1,0)</f>
        <v>0</v>
      </c>
    </row>
    <row r="72" spans="1:4" x14ac:dyDescent="0.35">
      <c r="A72" s="184" t="s">
        <v>357</v>
      </c>
      <c r="B72" s="185">
        <f>IF('PRIV-VALID.'!B68=0,1,0)</f>
        <v>1</v>
      </c>
    </row>
    <row r="73" spans="1:4" x14ac:dyDescent="0.35">
      <c r="A73" s="184" t="s">
        <v>358</v>
      </c>
      <c r="B73" s="185">
        <f>IF(B72=0,IF(B68=2,1,0),IF(B68+B69+B71&gt;1,1,0))</f>
        <v>0</v>
      </c>
    </row>
    <row r="74" spans="1:4" x14ac:dyDescent="0.35">
      <c r="A74" s="184" t="s">
        <v>1905</v>
      </c>
      <c r="B74" s="185">
        <f ca="1">IF(B68&gt;0,1,IF(B69+B70&gt;0,1,0))</f>
        <v>1</v>
      </c>
    </row>
    <row r="75" spans="1:4" x14ac:dyDescent="0.35">
      <c r="A75" s="184" t="s">
        <v>1902</v>
      </c>
      <c r="B75" s="185">
        <f>IF(B68+B69+B71&gt;1,1,0)</f>
        <v>0</v>
      </c>
    </row>
    <row r="88" spans="1:3" x14ac:dyDescent="0.35">
      <c r="A88" s="108" t="str">
        <f>Traduzioni!$G$505</f>
        <v>Profilo Previdenziale</v>
      </c>
      <c r="B88" s="108" t="str">
        <f>Traduzioni!$G$517</f>
        <v>COPERTURE</v>
      </c>
      <c r="C88" s="108" t="str">
        <f>Traduzioni!$G$518</f>
        <v>LACUNE</v>
      </c>
    </row>
    <row r="89" spans="1:3" x14ac:dyDescent="0.35">
      <c r="A89" s="360" t="str">
        <f>Traduzioni!$G$298</f>
        <v>Fabbisogno mensile</v>
      </c>
      <c r="B89" s="478">
        <f ca="1">K27</f>
        <v>0</v>
      </c>
      <c r="C89" s="108"/>
    </row>
    <row r="90" spans="1:3" x14ac:dyDescent="0.35">
      <c r="A90" s="108" t="str">
        <f>Traduzioni!$G$506</f>
        <v>Pens. con split.</v>
      </c>
      <c r="B90" s="479">
        <f ca="1">B50/12</f>
        <v>0</v>
      </c>
      <c r="C90" s="480">
        <f ca="1">$B$89-B90</f>
        <v>0</v>
      </c>
    </row>
    <row r="91" spans="1:3" x14ac:dyDescent="0.35">
      <c r="A91" s="108" t="str">
        <f>Traduzioni!$G$507</f>
        <v>Pens. senza split.</v>
      </c>
      <c r="B91" s="479">
        <f ca="1">B49/12</f>
        <v>0</v>
      </c>
      <c r="C91" s="480">
        <f t="shared" ref="C91:C100" ca="1" si="5">$B$89-B91</f>
        <v>0</v>
      </c>
    </row>
    <row r="92" spans="1:3" x14ac:dyDescent="0.35">
      <c r="A92" s="108" t="str">
        <f>Traduzioni!$G$508</f>
        <v>IG Inf. 720. gg</v>
      </c>
      <c r="B92" s="479">
        <f ca="1">B39/12</f>
        <v>0</v>
      </c>
      <c r="C92" s="480">
        <f t="shared" ca="1" si="5"/>
        <v>0</v>
      </c>
    </row>
    <row r="93" spans="1:3" x14ac:dyDescent="0.35">
      <c r="A93" s="108" t="str">
        <f>Traduzioni!$G$509</f>
        <v>IG Mal. 720.gg.</v>
      </c>
      <c r="B93" s="479">
        <f ca="1">B28/12</f>
        <v>0</v>
      </c>
      <c r="C93" s="480">
        <f t="shared" ca="1" si="5"/>
        <v>0</v>
      </c>
    </row>
    <row r="94" spans="1:3" x14ac:dyDescent="0.35">
      <c r="A94" s="108" t="str">
        <f>Traduzioni!$G$510</f>
        <v>Inv. Mal. con figli</v>
      </c>
      <c r="B94" s="479">
        <f ca="1">B29/12</f>
        <v>0</v>
      </c>
      <c r="C94" s="480">
        <f t="shared" ca="1" si="5"/>
        <v>0</v>
      </c>
    </row>
    <row r="95" spans="1:3" x14ac:dyDescent="0.35">
      <c r="A95" s="108" t="str">
        <f>Traduzioni!$G$511</f>
        <v>Inv. Mal. senza figli</v>
      </c>
      <c r="B95" s="479">
        <f ca="1">B30/12</f>
        <v>0</v>
      </c>
      <c r="C95" s="480">
        <f t="shared" ca="1" si="5"/>
        <v>0</v>
      </c>
    </row>
    <row r="96" spans="1:3" x14ac:dyDescent="0.35">
      <c r="A96" s="108" t="str">
        <f>Traduzioni!$G$512</f>
        <v>Inv. per Inf.</v>
      </c>
      <c r="B96" s="479">
        <f ca="1">B40/12</f>
        <v>0</v>
      </c>
      <c r="C96" s="480">
        <f t="shared" ca="1" si="5"/>
        <v>0</v>
      </c>
    </row>
    <row r="97" spans="1:3" x14ac:dyDescent="0.35">
      <c r="A97" s="108" t="str">
        <f>Traduzioni!$G$513</f>
        <v>Vedov. Mal. con figli</v>
      </c>
      <c r="B97" s="479">
        <f ca="1">B34/12</f>
        <v>0</v>
      </c>
      <c r="C97" s="480">
        <f t="shared" ca="1" si="5"/>
        <v>0</v>
      </c>
    </row>
    <row r="98" spans="1:3" x14ac:dyDescent="0.35">
      <c r="A98" s="108" t="str">
        <f>Traduzioni!$G$514</f>
        <v>Vedov. Mal. senza figli</v>
      </c>
      <c r="B98" s="479">
        <f ca="1">B35/12</f>
        <v>0</v>
      </c>
      <c r="C98" s="480">
        <f t="shared" ca="1" si="5"/>
        <v>0</v>
      </c>
    </row>
    <row r="99" spans="1:3" x14ac:dyDescent="0.35">
      <c r="A99" s="108" t="str">
        <f>Traduzioni!$G$515</f>
        <v>Vedov. Inf. con figli</v>
      </c>
      <c r="B99" s="479">
        <f ca="1">B44/12</f>
        <v>0</v>
      </c>
      <c r="C99" s="480">
        <f t="shared" ca="1" si="5"/>
        <v>0</v>
      </c>
    </row>
    <row r="100" spans="1:3" x14ac:dyDescent="0.35">
      <c r="A100" s="108" t="str">
        <f>Traduzioni!$G$516</f>
        <v>Vedov. Inf. senza figli</v>
      </c>
      <c r="B100" s="479">
        <f ca="1">B45/12</f>
        <v>0</v>
      </c>
      <c r="C100" s="480">
        <f t="shared" ca="1" si="5"/>
        <v>0</v>
      </c>
    </row>
  </sheetData>
  <sheetProtection selectLockedCells="1" selectUnlockedCells="1"/>
  <mergeCells count="11">
    <mergeCell ref="J25:P25"/>
    <mergeCell ref="R25:W25"/>
    <mergeCell ref="J31:P31"/>
    <mergeCell ref="R31:W31"/>
    <mergeCell ref="J46:N46"/>
    <mergeCell ref="P46:T46"/>
    <mergeCell ref="B1:D1"/>
    <mergeCell ref="B2:D2"/>
    <mergeCell ref="B3:D3"/>
    <mergeCell ref="B4:D4"/>
    <mergeCell ref="A67:B67"/>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Roman,Normale"&amp;12&amp;A</oddHeader>
    <oddFooter>&amp;C&amp;"Times New Roman,Normale"&amp;12Pagina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437F-FC72-4B76-AA2A-0E0A87EA1B98}">
  <dimension ref="A1:O162"/>
  <sheetViews>
    <sheetView showGridLines="0" showRowColHeaders="0" zoomScaleNormal="100" workbookViewId="0">
      <selection activeCell="R160" sqref="R160"/>
    </sheetView>
  </sheetViews>
  <sheetFormatPr defaultRowHeight="12.5" x14ac:dyDescent="0.25"/>
  <cols>
    <col min="1" max="1" width="8.7265625" customWidth="1"/>
  </cols>
  <sheetData>
    <row r="1" spans="1:15" ht="12.5" customHeight="1" x14ac:dyDescent="0.25">
      <c r="A1" s="265"/>
      <c r="B1" s="349"/>
      <c r="C1" s="349"/>
      <c r="D1" s="349"/>
      <c r="E1" s="1263" t="str">
        <f>Traduzioni!$G$486</f>
        <v>Calcolo per</v>
      </c>
      <c r="F1" s="1264"/>
      <c r="G1" s="1264"/>
      <c r="H1" s="1264"/>
      <c r="I1" s="1264" t="str">
        <f>Traduzioni!$G$487&amp;" x "&amp;ANALYSIS!B19</f>
        <v xml:space="preserve">Incapacità al guadagno per malattia x </v>
      </c>
      <c r="J1" s="1264"/>
      <c r="K1" s="1264"/>
      <c r="L1" s="1264"/>
      <c r="M1" s="1264"/>
      <c r="N1" s="1264"/>
      <c r="O1" s="1268"/>
    </row>
    <row r="2" spans="1:15" ht="12.5" customHeight="1" x14ac:dyDescent="0.25">
      <c r="A2" s="111"/>
      <c r="E2" s="1256" t="str">
        <f>'RENDITE CLIENTE'!$A$2</f>
        <v>Calcolo effettuato da:</v>
      </c>
      <c r="F2" s="1257"/>
      <c r="G2" s="1257"/>
      <c r="H2" s="1257"/>
      <c r="I2" s="1257" t="str">
        <f>ANALYSIS!$B$3&amp;" - "&amp;'RENDITE CLIENTE'!$B$2</f>
        <v xml:space="preserve"> - NeoLife AG</v>
      </c>
      <c r="J2" s="1257"/>
      <c r="K2" s="1257"/>
      <c r="L2" s="1257"/>
      <c r="M2" s="1257"/>
      <c r="N2" s="1257"/>
      <c r="O2" s="1258"/>
    </row>
    <row r="3" spans="1:15" ht="12.5" customHeight="1" x14ac:dyDescent="0.25">
      <c r="A3" s="111"/>
      <c r="E3" s="1256" t="str">
        <f>'RENDITE CLIENTE'!$A$3</f>
        <v>Parametri di calcolo:</v>
      </c>
      <c r="F3" s="1257"/>
      <c r="G3" s="1257"/>
      <c r="H3" s="1257"/>
      <c r="I3" s="1257" t="str">
        <f>'RENDITE CLIENTE'!$B$3&amp;" "&amp;ANALYSIS!$B$19</f>
        <v xml:space="preserve">Scala 44 AVS/AI/IPG + Info fornite da:  </v>
      </c>
      <c r="J3" s="1257"/>
      <c r="K3" s="1257"/>
      <c r="L3" s="1257"/>
      <c r="M3" s="1257"/>
      <c r="N3" s="1257"/>
      <c r="O3" s="1258"/>
    </row>
    <row r="4" spans="1:15" ht="12.5" customHeight="1" thickBot="1" x14ac:dyDescent="0.3">
      <c r="A4" s="269"/>
      <c r="B4" s="350"/>
      <c r="C4" s="350"/>
      <c r="D4" s="350"/>
      <c r="E4" s="1259" t="str">
        <f>'RENDITE CLIENTE'!$A$4</f>
        <v>Calcolo del:</v>
      </c>
      <c r="F4" s="1260"/>
      <c r="G4" s="1260"/>
      <c r="H4" s="1260"/>
      <c r="I4" s="1261">
        <f ca="1">'RENDITE CLIENTE'!$B$4</f>
        <v>45680.292758449075</v>
      </c>
      <c r="J4" s="1261"/>
      <c r="K4" s="1261"/>
      <c r="L4" s="1261"/>
      <c r="M4" s="1261"/>
      <c r="N4" s="1261"/>
      <c r="O4" s="1262"/>
    </row>
    <row r="5" spans="1:15" ht="12.5" customHeight="1" x14ac:dyDescent="0.25"/>
    <row r="6" spans="1:15" ht="12.5" customHeight="1" x14ac:dyDescent="0.25"/>
    <row r="7" spans="1:15" ht="12.5" customHeight="1" x14ac:dyDescent="0.25"/>
    <row r="8" spans="1:15" ht="12.5" customHeight="1" x14ac:dyDescent="0.25"/>
    <row r="40" spans="1:15" ht="13" thickBot="1" x14ac:dyDescent="0.3"/>
    <row r="41" spans="1:15" ht="14" x14ac:dyDescent="0.25">
      <c r="A41" s="265"/>
      <c r="B41" s="349"/>
      <c r="C41" s="349"/>
      <c r="D41" s="349"/>
      <c r="E41" s="1263" t="str">
        <f>Traduzioni!$G$486</f>
        <v>Calcolo per</v>
      </c>
      <c r="F41" s="1264"/>
      <c r="G41" s="1264"/>
      <c r="H41" s="1264"/>
      <c r="I41" s="1265" t="str">
        <f>Traduzioni!$G$497</f>
        <v xml:space="preserve">Rendite superstiti dec. x mal. Di </v>
      </c>
      <c r="J41" s="1266"/>
      <c r="K41" s="1266"/>
      <c r="L41" s="1266"/>
      <c r="M41" s="1266"/>
      <c r="N41" s="1266"/>
      <c r="O41" s="1267"/>
    </row>
    <row r="42" spans="1:15" ht="14" x14ac:dyDescent="0.25">
      <c r="A42" s="111"/>
      <c r="E42" s="1256" t="str">
        <f>'RENDITE CLIENTE'!$A$2</f>
        <v>Calcolo effettuato da:</v>
      </c>
      <c r="F42" s="1257"/>
      <c r="G42" s="1257"/>
      <c r="H42" s="1257"/>
      <c r="I42" s="1257" t="str">
        <f>ANALYSIS!$B$3&amp;" - "&amp;'RENDITE CLIENTE'!$B$2</f>
        <v xml:space="preserve"> - NeoLife AG</v>
      </c>
      <c r="J42" s="1257"/>
      <c r="K42" s="1257"/>
      <c r="L42" s="1257"/>
      <c r="M42" s="1257"/>
      <c r="N42" s="1257"/>
      <c r="O42" s="1258"/>
    </row>
    <row r="43" spans="1:15" ht="14" x14ac:dyDescent="0.25">
      <c r="A43" s="111"/>
      <c r="E43" s="1256" t="str">
        <f>'RENDITE CLIENTE'!$A$3</f>
        <v>Parametri di calcolo:</v>
      </c>
      <c r="F43" s="1257"/>
      <c r="G43" s="1257"/>
      <c r="H43" s="1257"/>
      <c r="I43" s="1257" t="str">
        <f>'RENDITE CLIENTE'!$B$3&amp;" "&amp;ANALYSIS!$B$19</f>
        <v xml:space="preserve">Scala 44 AVS/AI/IPG + Info fornite da:  </v>
      </c>
      <c r="J43" s="1257"/>
      <c r="K43" s="1257"/>
      <c r="L43" s="1257"/>
      <c r="M43" s="1257"/>
      <c r="N43" s="1257"/>
      <c r="O43" s="1258"/>
    </row>
    <row r="44" spans="1:15" ht="14.5" thickBot="1" x14ac:dyDescent="0.3">
      <c r="A44" s="269"/>
      <c r="B44" s="350"/>
      <c r="C44" s="350"/>
      <c r="D44" s="350"/>
      <c r="E44" s="1259" t="str">
        <f>'RENDITE CLIENTE'!$A$4</f>
        <v>Calcolo del:</v>
      </c>
      <c r="F44" s="1260"/>
      <c r="G44" s="1260"/>
      <c r="H44" s="1260"/>
      <c r="I44" s="1261">
        <f ca="1">'RENDITE CLIENTE'!$B$4</f>
        <v>45680.292758449075</v>
      </c>
      <c r="J44" s="1261"/>
      <c r="K44" s="1261"/>
      <c r="L44" s="1261"/>
      <c r="M44" s="1261"/>
      <c r="N44" s="1261"/>
      <c r="O44" s="1262"/>
    </row>
    <row r="79" spans="1:15" ht="13" thickBot="1" x14ac:dyDescent="0.3"/>
    <row r="80" spans="1:15" ht="14" x14ac:dyDescent="0.25">
      <c r="A80" s="265"/>
      <c r="B80" s="349"/>
      <c r="C80" s="349"/>
      <c r="D80" s="349"/>
      <c r="E80" s="1263" t="str">
        <f>Traduzioni!$G$486</f>
        <v>Calcolo per</v>
      </c>
      <c r="F80" s="1264"/>
      <c r="G80" s="1264"/>
      <c r="H80" s="1264"/>
      <c r="I80" s="1265" t="str">
        <f>Traduzioni!$G$498</f>
        <v xml:space="preserve">Previdenza per la Vecchiaia </v>
      </c>
      <c r="J80" s="1266"/>
      <c r="K80" s="1266"/>
      <c r="L80" s="1266"/>
      <c r="M80" s="1266"/>
      <c r="N80" s="1266"/>
      <c r="O80" s="1267"/>
    </row>
    <row r="81" spans="1:15" ht="14" x14ac:dyDescent="0.25">
      <c r="A81" s="111"/>
      <c r="E81" s="1256" t="str">
        <f>'RENDITE CLIENTE'!$A$2</f>
        <v>Calcolo effettuato da:</v>
      </c>
      <c r="F81" s="1257"/>
      <c r="G81" s="1257"/>
      <c r="H81" s="1257"/>
      <c r="I81" s="1257" t="str">
        <f>ANALYSIS!$B$3&amp;" - "&amp;'RENDITE CLIENTE'!$B$2</f>
        <v xml:space="preserve"> - NeoLife AG</v>
      </c>
      <c r="J81" s="1257"/>
      <c r="K81" s="1257"/>
      <c r="L81" s="1257"/>
      <c r="M81" s="1257"/>
      <c r="N81" s="1257"/>
      <c r="O81" s="1258"/>
    </row>
    <row r="82" spans="1:15" ht="14" x14ac:dyDescent="0.25">
      <c r="A82" s="111"/>
      <c r="E82" s="1256" t="str">
        <f>'RENDITE CLIENTE'!$A$3</f>
        <v>Parametri di calcolo:</v>
      </c>
      <c r="F82" s="1257"/>
      <c r="G82" s="1257"/>
      <c r="H82" s="1257"/>
      <c r="I82" s="1257" t="str">
        <f>'RENDITE CLIENTE'!$B$3&amp;" "&amp;ANALYSIS!$B$19</f>
        <v xml:space="preserve">Scala 44 AVS/AI/IPG + Info fornite da:  </v>
      </c>
      <c r="J82" s="1257"/>
      <c r="K82" s="1257"/>
      <c r="L82" s="1257"/>
      <c r="M82" s="1257"/>
      <c r="N82" s="1257"/>
      <c r="O82" s="1258"/>
    </row>
    <row r="83" spans="1:15" ht="14.5" thickBot="1" x14ac:dyDescent="0.3">
      <c r="A83" s="269"/>
      <c r="B83" s="350"/>
      <c r="C83" s="350"/>
      <c r="D83" s="350"/>
      <c r="E83" s="1259" t="str">
        <f>'RENDITE CLIENTE'!$A$4</f>
        <v>Calcolo del:</v>
      </c>
      <c r="F83" s="1260"/>
      <c r="G83" s="1260"/>
      <c r="H83" s="1260"/>
      <c r="I83" s="1261">
        <f ca="1">'RENDITE CLIENTE'!$B$4</f>
        <v>45680.292758449075</v>
      </c>
      <c r="J83" s="1261"/>
      <c r="K83" s="1261"/>
      <c r="L83" s="1261"/>
      <c r="M83" s="1261"/>
      <c r="N83" s="1261"/>
      <c r="O83" s="1262"/>
    </row>
    <row r="119" spans="1:15" ht="13" thickBot="1" x14ac:dyDescent="0.3"/>
    <row r="120" spans="1:15" ht="14" x14ac:dyDescent="0.25">
      <c r="A120" s="265"/>
      <c r="B120" s="349"/>
      <c r="C120" s="349"/>
      <c r="D120" s="349"/>
      <c r="E120" s="1263" t="str">
        <f>Traduzioni!$G$486</f>
        <v>Calcolo per</v>
      </c>
      <c r="F120" s="1264"/>
      <c r="G120" s="1264"/>
      <c r="H120" s="1264"/>
      <c r="I120" s="1265" t="str">
        <f>'calcoli Cliente'!A37&amp;" x "&amp;ANALYSIS!B19</f>
        <v xml:space="preserve">Reddito in caso di Infortunio x </v>
      </c>
      <c r="J120" s="1266"/>
      <c r="K120" s="1266"/>
      <c r="L120" s="1266"/>
      <c r="M120" s="1266"/>
      <c r="N120" s="1266"/>
      <c r="O120" s="1267"/>
    </row>
    <row r="121" spans="1:15" ht="14" x14ac:dyDescent="0.25">
      <c r="A121" s="111"/>
      <c r="E121" s="1256" t="str">
        <f>'RENDITE CLIENTE'!$A$2</f>
        <v>Calcolo effettuato da:</v>
      </c>
      <c r="F121" s="1257"/>
      <c r="G121" s="1257"/>
      <c r="H121" s="1257"/>
      <c r="I121" s="1257" t="str">
        <f>ANALYSIS!$B$3&amp;" - "&amp;'RENDITE CLIENTE'!$B$2</f>
        <v xml:space="preserve"> - NeoLife AG</v>
      </c>
      <c r="J121" s="1257"/>
      <c r="K121" s="1257"/>
      <c r="L121" s="1257"/>
      <c r="M121" s="1257"/>
      <c r="N121" s="1257"/>
      <c r="O121" s="1258"/>
    </row>
    <row r="122" spans="1:15" ht="14" x14ac:dyDescent="0.25">
      <c r="A122" s="111"/>
      <c r="E122" s="1256" t="str">
        <f>'RENDITE CLIENTE'!$A$3</f>
        <v>Parametri di calcolo:</v>
      </c>
      <c r="F122" s="1257"/>
      <c r="G122" s="1257"/>
      <c r="H122" s="1257"/>
      <c r="I122" s="1257" t="str">
        <f>'RENDITE CLIENTE'!$B$3&amp;" "&amp;ANALYSIS!$B$19</f>
        <v xml:space="preserve">Scala 44 AVS/AI/IPG + Info fornite da:  </v>
      </c>
      <c r="J122" s="1257"/>
      <c r="K122" s="1257"/>
      <c r="L122" s="1257"/>
      <c r="M122" s="1257"/>
      <c r="N122" s="1257"/>
      <c r="O122" s="1258"/>
    </row>
    <row r="123" spans="1:15" ht="14.5" thickBot="1" x14ac:dyDescent="0.3">
      <c r="A123" s="269"/>
      <c r="B123" s="350"/>
      <c r="C123" s="350"/>
      <c r="D123" s="350"/>
      <c r="E123" s="1259" t="str">
        <f>'RENDITE CLIENTE'!$A$4</f>
        <v>Calcolo del:</v>
      </c>
      <c r="F123" s="1260"/>
      <c r="G123" s="1260"/>
      <c r="H123" s="1260"/>
      <c r="I123" s="1261">
        <f ca="1">'RENDITE CLIENTE'!$B$4</f>
        <v>45680.292758449075</v>
      </c>
      <c r="J123" s="1261"/>
      <c r="K123" s="1261"/>
      <c r="L123" s="1261"/>
      <c r="M123" s="1261"/>
      <c r="N123" s="1261"/>
      <c r="O123" s="1262"/>
    </row>
    <row r="158" spans="1:15" ht="13" thickBot="1" x14ac:dyDescent="0.3"/>
    <row r="159" spans="1:15" ht="14" x14ac:dyDescent="0.25">
      <c r="A159" s="265"/>
      <c r="B159" s="349"/>
      <c r="C159" s="349"/>
      <c r="D159" s="349"/>
      <c r="E159" s="1263" t="str">
        <f>Traduzioni!$G$486</f>
        <v>Calcolo per</v>
      </c>
      <c r="F159" s="1264"/>
      <c r="G159" s="1264"/>
      <c r="H159" s="1264"/>
      <c r="I159" s="1265" t="str">
        <f>Traduzioni!G502</f>
        <v xml:space="preserve">Rendite superstiti dec. x inf. Di </v>
      </c>
      <c r="J159" s="1266"/>
      <c r="K159" s="1266"/>
      <c r="L159" s="1266"/>
      <c r="M159" s="1266"/>
      <c r="N159" s="1266"/>
      <c r="O159" s="1267"/>
    </row>
    <row r="160" spans="1:15" ht="14" x14ac:dyDescent="0.25">
      <c r="A160" s="111"/>
      <c r="E160" s="1256" t="str">
        <f>'RENDITE CLIENTE'!$A$2</f>
        <v>Calcolo effettuato da:</v>
      </c>
      <c r="F160" s="1257"/>
      <c r="G160" s="1257"/>
      <c r="H160" s="1257"/>
      <c r="I160" s="1257" t="str">
        <f>ANALYSIS!$B$3&amp;" - "&amp;'RENDITE CLIENTE'!$B$2</f>
        <v xml:space="preserve"> - NeoLife AG</v>
      </c>
      <c r="J160" s="1257"/>
      <c r="K160" s="1257"/>
      <c r="L160" s="1257"/>
      <c r="M160" s="1257"/>
      <c r="N160" s="1257"/>
      <c r="O160" s="1258"/>
    </row>
    <row r="161" spans="1:15" ht="14" x14ac:dyDescent="0.25">
      <c r="A161" s="111"/>
      <c r="E161" s="1256" t="str">
        <f>'RENDITE CLIENTE'!$A$3</f>
        <v>Parametri di calcolo:</v>
      </c>
      <c r="F161" s="1257"/>
      <c r="G161" s="1257"/>
      <c r="H161" s="1257"/>
      <c r="I161" s="1257" t="str">
        <f>'RENDITE CLIENTE'!$B$3&amp;" "&amp;ANALYSIS!$B$19</f>
        <v xml:space="preserve">Scala 44 AVS/AI/IPG + Info fornite da:  </v>
      </c>
      <c r="J161" s="1257"/>
      <c r="K161" s="1257"/>
      <c r="L161" s="1257"/>
      <c r="M161" s="1257"/>
      <c r="N161" s="1257"/>
      <c r="O161" s="1258"/>
    </row>
    <row r="162" spans="1:15" ht="14.5" thickBot="1" x14ac:dyDescent="0.3">
      <c r="A162" s="269"/>
      <c r="B162" s="350"/>
      <c r="C162" s="350"/>
      <c r="D162" s="350"/>
      <c r="E162" s="1259" t="str">
        <f>'RENDITE CLIENTE'!$A$4</f>
        <v>Calcolo del:</v>
      </c>
      <c r="F162" s="1260"/>
      <c r="G162" s="1260"/>
      <c r="H162" s="1260"/>
      <c r="I162" s="1261">
        <f ca="1">'RENDITE CLIENTE'!$B$4</f>
        <v>45680.292758449075</v>
      </c>
      <c r="J162" s="1261"/>
      <c r="K162" s="1261"/>
      <c r="L162" s="1261"/>
      <c r="M162" s="1261"/>
      <c r="N162" s="1261"/>
      <c r="O162" s="1262"/>
    </row>
  </sheetData>
  <sheetProtection sheet="1" objects="1" scenarios="1"/>
  <mergeCells count="40">
    <mergeCell ref="E123:H123"/>
    <mergeCell ref="I123:O123"/>
    <mergeCell ref="E120:H120"/>
    <mergeCell ref="I120:O120"/>
    <mergeCell ref="E121:H121"/>
    <mergeCell ref="I121:O121"/>
    <mergeCell ref="E122:H122"/>
    <mergeCell ref="I122:O122"/>
    <mergeCell ref="E81:H81"/>
    <mergeCell ref="I81:O81"/>
    <mergeCell ref="E82:H82"/>
    <mergeCell ref="I82:O82"/>
    <mergeCell ref="E83:H83"/>
    <mergeCell ref="I83:O83"/>
    <mergeCell ref="E43:H43"/>
    <mergeCell ref="I43:O43"/>
    <mergeCell ref="E44:H44"/>
    <mergeCell ref="I44:O44"/>
    <mergeCell ref="E80:H80"/>
    <mergeCell ref="I80:O80"/>
    <mergeCell ref="E41:H41"/>
    <mergeCell ref="I41:O41"/>
    <mergeCell ref="E42:H42"/>
    <mergeCell ref="I42:O42"/>
    <mergeCell ref="I2:O2"/>
    <mergeCell ref="I3:O3"/>
    <mergeCell ref="I4:O4"/>
    <mergeCell ref="E1:H1"/>
    <mergeCell ref="E2:H2"/>
    <mergeCell ref="E3:H3"/>
    <mergeCell ref="E4:H4"/>
    <mergeCell ref="I1:O1"/>
    <mergeCell ref="E161:H161"/>
    <mergeCell ref="I161:O161"/>
    <mergeCell ref="E162:H162"/>
    <mergeCell ref="I162:O162"/>
    <mergeCell ref="E159:H159"/>
    <mergeCell ref="I159:O159"/>
    <mergeCell ref="E160:H160"/>
    <mergeCell ref="I160:O160"/>
  </mergeCells>
  <pageMargins left="0.7" right="0.7" top="0.75" bottom="0.75" header="0.3" footer="0.3"/>
  <pageSetup paperSize="9" scale="95" orientation="landscape" r:id="rId1"/>
  <rowBreaks count="3" manualBreakCount="3">
    <brk id="39" max="16383" man="1"/>
    <brk id="78" max="16383" man="1"/>
    <brk id="11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6C0AC-0095-49A1-BB5B-73AB2CC6D66A}">
  <dimension ref="A1:O158"/>
  <sheetViews>
    <sheetView showGridLines="0" showRowColHeaders="0" zoomScale="110" zoomScaleNormal="110" workbookViewId="0">
      <selection activeCell="I1" sqref="I1:O1"/>
    </sheetView>
  </sheetViews>
  <sheetFormatPr defaultRowHeight="12.5" x14ac:dyDescent="0.25"/>
  <sheetData>
    <row r="1" spans="1:15" ht="12.5" customHeight="1" x14ac:dyDescent="0.25">
      <c r="A1" s="265"/>
      <c r="B1" s="349"/>
      <c r="C1" s="349"/>
      <c r="D1" s="349"/>
      <c r="E1" s="1263" t="str">
        <f>Traduzioni!$G$486</f>
        <v>Calcolo per</v>
      </c>
      <c r="F1" s="1264"/>
      <c r="G1" s="1264"/>
      <c r="H1" s="1264"/>
      <c r="I1" s="1264" t="str">
        <f>Traduzioni!$G$487&amp;" x "&amp;ANALYSIS!C19</f>
        <v xml:space="preserve">Incapacità al guadagno per malattia x </v>
      </c>
      <c r="J1" s="1264"/>
      <c r="K1" s="1264"/>
      <c r="L1" s="1264"/>
      <c r="M1" s="1264"/>
      <c r="N1" s="1264"/>
      <c r="O1" s="1268"/>
    </row>
    <row r="2" spans="1:15" ht="12.5" customHeight="1" x14ac:dyDescent="0.25">
      <c r="A2" s="111"/>
      <c r="E2" s="1256" t="str">
        <f>'RENDITE CLIENTE'!$A$2</f>
        <v>Calcolo effettuato da:</v>
      </c>
      <c r="F2" s="1257"/>
      <c r="G2" s="1257"/>
      <c r="H2" s="1257"/>
      <c r="I2" s="1257" t="str">
        <f>ANALYSIS!$B$3&amp;" - "&amp;'RENDITE CLIENTE'!$B$2</f>
        <v xml:space="preserve"> - NeoLife AG</v>
      </c>
      <c r="J2" s="1257"/>
      <c r="K2" s="1257"/>
      <c r="L2" s="1257"/>
      <c r="M2" s="1257"/>
      <c r="N2" s="1257"/>
      <c r="O2" s="1258"/>
    </row>
    <row r="3" spans="1:15" ht="12.5" customHeight="1" x14ac:dyDescent="0.25">
      <c r="A3" s="111"/>
      <c r="E3" s="1256" t="str">
        <f>'RENDITE CLIENTE'!$A$3</f>
        <v>Parametri di calcolo:</v>
      </c>
      <c r="F3" s="1257"/>
      <c r="G3" s="1257"/>
      <c r="H3" s="1257"/>
      <c r="I3" s="1257" t="str">
        <f>'RENDITE CLIENTE'!$B$3&amp;" "&amp;ANALYSIS!$C$19</f>
        <v xml:space="preserve">Scala 44 AVS/AI/IPG + Info fornite da:  </v>
      </c>
      <c r="J3" s="1257"/>
      <c r="K3" s="1257"/>
      <c r="L3" s="1257"/>
      <c r="M3" s="1257"/>
      <c r="N3" s="1257"/>
      <c r="O3" s="1258"/>
    </row>
    <row r="4" spans="1:15" ht="12.5" customHeight="1" thickBot="1" x14ac:dyDescent="0.3">
      <c r="A4" s="269"/>
      <c r="B4" s="350"/>
      <c r="C4" s="350"/>
      <c r="D4" s="350"/>
      <c r="E4" s="1259" t="str">
        <f>'RENDITE CLIENTE'!$A$4</f>
        <v>Calcolo del:</v>
      </c>
      <c r="F4" s="1260"/>
      <c r="G4" s="1260"/>
      <c r="H4" s="1260"/>
      <c r="I4" s="1261">
        <f ca="1">'RENDITE CLIENTE'!$B$4</f>
        <v>45680.292758449075</v>
      </c>
      <c r="J4" s="1261"/>
      <c r="K4" s="1261"/>
      <c r="L4" s="1261"/>
      <c r="M4" s="1261"/>
      <c r="N4" s="1261"/>
      <c r="O4" s="1262"/>
    </row>
    <row r="5" spans="1:15" ht="12.5" customHeight="1" x14ac:dyDescent="0.25"/>
    <row r="6" spans="1:15" ht="12.5" customHeight="1" x14ac:dyDescent="0.25"/>
    <row r="7" spans="1:15" ht="12.5" customHeight="1" x14ac:dyDescent="0.25"/>
    <row r="8" spans="1:15" ht="12.5" customHeight="1" x14ac:dyDescent="0.25"/>
    <row r="40" spans="1:15" ht="13" thickBot="1" x14ac:dyDescent="0.3"/>
    <row r="41" spans="1:15" ht="14" x14ac:dyDescent="0.25">
      <c r="A41" s="265"/>
      <c r="B41" s="349"/>
      <c r="C41" s="349"/>
      <c r="D41" s="349"/>
      <c r="E41" s="1263" t="str">
        <f>Traduzioni!$G$486</f>
        <v>Calcolo per</v>
      </c>
      <c r="F41" s="1264"/>
      <c r="G41" s="1264"/>
      <c r="H41" s="1264"/>
      <c r="I41" s="1265" t="str">
        <f>Traduzioni!G500</f>
        <v xml:space="preserve">Rendite superstiti dec. x mal. Di </v>
      </c>
      <c r="J41" s="1266"/>
      <c r="K41" s="1266"/>
      <c r="L41" s="1266"/>
      <c r="M41" s="1266"/>
      <c r="N41" s="1266"/>
      <c r="O41" s="1267"/>
    </row>
    <row r="42" spans="1:15" ht="14" x14ac:dyDescent="0.25">
      <c r="A42" s="111"/>
      <c r="E42" s="1256" t="str">
        <f>'RENDITE CLIENTE'!$A$2</f>
        <v>Calcolo effettuato da:</v>
      </c>
      <c r="F42" s="1257"/>
      <c r="G42" s="1257"/>
      <c r="H42" s="1257"/>
      <c r="I42" s="1257" t="str">
        <f>ANALYSIS!$B$3&amp;" - "&amp;'RENDITE CLIENTE'!$B$2</f>
        <v xml:space="preserve"> - NeoLife AG</v>
      </c>
      <c r="J42" s="1257"/>
      <c r="K42" s="1257"/>
      <c r="L42" s="1257"/>
      <c r="M42" s="1257"/>
      <c r="N42" s="1257"/>
      <c r="O42" s="1258"/>
    </row>
    <row r="43" spans="1:15" ht="14" x14ac:dyDescent="0.25">
      <c r="A43" s="111"/>
      <c r="E43" s="1256" t="str">
        <f>'RENDITE CLIENTE'!$A$3</f>
        <v>Parametri di calcolo:</v>
      </c>
      <c r="F43" s="1257"/>
      <c r="G43" s="1257"/>
      <c r="H43" s="1257"/>
      <c r="I43" s="1257" t="str">
        <f>'RENDITE CLIENTE'!$B$3&amp;" "&amp;ANALYSIS!$B$19</f>
        <v xml:space="preserve">Scala 44 AVS/AI/IPG + Info fornite da:  </v>
      </c>
      <c r="J43" s="1257"/>
      <c r="K43" s="1257"/>
      <c r="L43" s="1257"/>
      <c r="M43" s="1257"/>
      <c r="N43" s="1257"/>
      <c r="O43" s="1258"/>
    </row>
    <row r="44" spans="1:15" ht="14.5" thickBot="1" x14ac:dyDescent="0.3">
      <c r="A44" s="269"/>
      <c r="B44" s="350"/>
      <c r="C44" s="350"/>
      <c r="D44" s="350"/>
      <c r="E44" s="1259" t="str">
        <f>'RENDITE CLIENTE'!$A$4</f>
        <v>Calcolo del:</v>
      </c>
      <c r="F44" s="1260"/>
      <c r="G44" s="1260"/>
      <c r="H44" s="1260"/>
      <c r="I44" s="1261">
        <f ca="1">'RENDITE CLIENTE'!$B$4</f>
        <v>45680.292758449075</v>
      </c>
      <c r="J44" s="1261"/>
      <c r="K44" s="1261"/>
      <c r="L44" s="1261"/>
      <c r="M44" s="1261"/>
      <c r="N44" s="1261"/>
      <c r="O44" s="1262"/>
    </row>
    <row r="78" spans="1:15" ht="13" thickBot="1" x14ac:dyDescent="0.3"/>
    <row r="79" spans="1:15" ht="14" x14ac:dyDescent="0.25">
      <c r="A79" s="265"/>
      <c r="B79" s="349"/>
      <c r="C79" s="349"/>
      <c r="D79" s="349"/>
      <c r="E79" s="1263" t="str">
        <f>Traduzioni!$G$486</f>
        <v>Calcolo per</v>
      </c>
      <c r="F79" s="1264"/>
      <c r="G79" s="1264"/>
      <c r="H79" s="1264"/>
      <c r="I79" s="1265" t="str">
        <f>Traduzioni!G499</f>
        <v xml:space="preserve">Previdenza per la Vecchiaia </v>
      </c>
      <c r="J79" s="1266"/>
      <c r="K79" s="1266"/>
      <c r="L79" s="1266"/>
      <c r="M79" s="1266"/>
      <c r="N79" s="1266"/>
      <c r="O79" s="1267"/>
    </row>
    <row r="80" spans="1:15" ht="14" x14ac:dyDescent="0.25">
      <c r="A80" s="111"/>
      <c r="E80" s="1256" t="str">
        <f>'RENDITE CLIENTE'!$A$2</f>
        <v>Calcolo effettuato da:</v>
      </c>
      <c r="F80" s="1257"/>
      <c r="G80" s="1257"/>
      <c r="H80" s="1257"/>
      <c r="I80" s="1257" t="str">
        <f>ANALYSIS!$B$3&amp;" - "&amp;'RENDITE CLIENTE'!$B$2</f>
        <v xml:space="preserve"> - NeoLife AG</v>
      </c>
      <c r="J80" s="1257"/>
      <c r="K80" s="1257"/>
      <c r="L80" s="1257"/>
      <c r="M80" s="1257"/>
      <c r="N80" s="1257"/>
      <c r="O80" s="1258"/>
    </row>
    <row r="81" spans="1:15" ht="14" x14ac:dyDescent="0.25">
      <c r="A81" s="111"/>
      <c r="E81" s="1256" t="str">
        <f>'RENDITE CLIENTE'!$A$3</f>
        <v>Parametri di calcolo:</v>
      </c>
      <c r="F81" s="1257"/>
      <c r="G81" s="1257"/>
      <c r="H81" s="1257"/>
      <c r="I81" s="1257" t="str">
        <f>'RENDITE CLIENTE'!$B$3&amp;" "&amp;ANALYSIS!$B$19</f>
        <v xml:space="preserve">Scala 44 AVS/AI/IPG + Info fornite da:  </v>
      </c>
      <c r="J81" s="1257"/>
      <c r="K81" s="1257"/>
      <c r="L81" s="1257"/>
      <c r="M81" s="1257"/>
      <c r="N81" s="1257"/>
      <c r="O81" s="1258"/>
    </row>
    <row r="82" spans="1:15" ht="14.5" thickBot="1" x14ac:dyDescent="0.3">
      <c r="A82" s="269"/>
      <c r="B82" s="350"/>
      <c r="C82" s="350"/>
      <c r="D82" s="350"/>
      <c r="E82" s="1259" t="str">
        <f>'RENDITE CLIENTE'!$A$4</f>
        <v>Calcolo del:</v>
      </c>
      <c r="F82" s="1260"/>
      <c r="G82" s="1260"/>
      <c r="H82" s="1260"/>
      <c r="I82" s="1261">
        <f ca="1">'RENDITE CLIENTE'!$B$4</f>
        <v>45680.292758449075</v>
      </c>
      <c r="J82" s="1261"/>
      <c r="K82" s="1261"/>
      <c r="L82" s="1261"/>
      <c r="M82" s="1261"/>
      <c r="N82" s="1261"/>
      <c r="O82" s="1262"/>
    </row>
    <row r="116" spans="1:15" ht="13" thickBot="1" x14ac:dyDescent="0.3"/>
    <row r="117" spans="1:15" ht="14" x14ac:dyDescent="0.25">
      <c r="A117" s="265"/>
      <c r="B117" s="349"/>
      <c r="C117" s="349"/>
      <c r="D117" s="349"/>
      <c r="E117" s="1263" t="str">
        <f>Traduzioni!$G$486</f>
        <v>Calcolo per</v>
      </c>
      <c r="F117" s="1264"/>
      <c r="G117" s="1264"/>
      <c r="H117" s="1264"/>
      <c r="I117" s="1265" t="str">
        <f>'Calcoli Partner'!A37&amp;" "&amp;ANALYSIS!C19</f>
        <v xml:space="preserve">Reddito in caso di Infortunio </v>
      </c>
      <c r="J117" s="1266"/>
      <c r="K117" s="1266"/>
      <c r="L117" s="1266"/>
      <c r="M117" s="1266"/>
      <c r="N117" s="1266"/>
      <c r="O117" s="1267"/>
    </row>
    <row r="118" spans="1:15" ht="14" x14ac:dyDescent="0.25">
      <c r="A118" s="111"/>
      <c r="E118" s="1256" t="str">
        <f>'RENDITE CLIENTE'!$A$2</f>
        <v>Calcolo effettuato da:</v>
      </c>
      <c r="F118" s="1257"/>
      <c r="G118" s="1257"/>
      <c r="H118" s="1257"/>
      <c r="I118" s="1257" t="str">
        <f>ANALYSIS!$B$3&amp;" - "&amp;'RENDITE CLIENTE'!$B$2</f>
        <v xml:space="preserve"> - NeoLife AG</v>
      </c>
      <c r="J118" s="1257"/>
      <c r="K118" s="1257"/>
      <c r="L118" s="1257"/>
      <c r="M118" s="1257"/>
      <c r="N118" s="1257"/>
      <c r="O118" s="1258"/>
    </row>
    <row r="119" spans="1:15" ht="14" x14ac:dyDescent="0.25">
      <c r="A119" s="111"/>
      <c r="E119" s="1256" t="str">
        <f>'RENDITE CLIENTE'!$A$3</f>
        <v>Parametri di calcolo:</v>
      </c>
      <c r="F119" s="1257"/>
      <c r="G119" s="1257"/>
      <c r="H119" s="1257"/>
      <c r="I119" s="1257" t="str">
        <f>'RENDITE CLIENTE'!$B$3&amp;" "&amp;ANALYSIS!$B$19</f>
        <v xml:space="preserve">Scala 44 AVS/AI/IPG + Info fornite da:  </v>
      </c>
      <c r="J119" s="1257"/>
      <c r="K119" s="1257"/>
      <c r="L119" s="1257"/>
      <c r="M119" s="1257"/>
      <c r="N119" s="1257"/>
      <c r="O119" s="1258"/>
    </row>
    <row r="120" spans="1:15" ht="14.5" thickBot="1" x14ac:dyDescent="0.3">
      <c r="A120" s="269"/>
      <c r="B120" s="350"/>
      <c r="C120" s="350"/>
      <c r="D120" s="350"/>
      <c r="E120" s="1259" t="str">
        <f>'RENDITE CLIENTE'!$A$4</f>
        <v>Calcolo del:</v>
      </c>
      <c r="F120" s="1260"/>
      <c r="G120" s="1260"/>
      <c r="H120" s="1260"/>
      <c r="I120" s="1261">
        <f ca="1">'RENDITE CLIENTE'!$B$4</f>
        <v>45680.292758449075</v>
      </c>
      <c r="J120" s="1261"/>
      <c r="K120" s="1261"/>
      <c r="L120" s="1261"/>
      <c r="M120" s="1261"/>
      <c r="N120" s="1261"/>
      <c r="O120" s="1262"/>
    </row>
    <row r="154" spans="1:15" ht="13" thickBot="1" x14ac:dyDescent="0.3"/>
    <row r="155" spans="1:15" ht="14" x14ac:dyDescent="0.25">
      <c r="A155" s="265"/>
      <c r="B155" s="349"/>
      <c r="C155" s="349"/>
      <c r="D155" s="349"/>
      <c r="E155" s="1263" t="str">
        <f>Traduzioni!$G$486</f>
        <v>Calcolo per</v>
      </c>
      <c r="F155" s="1264"/>
      <c r="G155" s="1264"/>
      <c r="H155" s="1264"/>
      <c r="I155" s="1265" t="str">
        <f>Traduzioni!G503</f>
        <v xml:space="preserve">Rendite superstiti dec. x inf. Di </v>
      </c>
      <c r="J155" s="1266"/>
      <c r="K155" s="1266"/>
      <c r="L155" s="1266"/>
      <c r="M155" s="1266"/>
      <c r="N155" s="1266"/>
      <c r="O155" s="1267"/>
    </row>
    <row r="156" spans="1:15" ht="14" x14ac:dyDescent="0.25">
      <c r="A156" s="111"/>
      <c r="E156" s="1256" t="str">
        <f>'RENDITE CLIENTE'!$A$2</f>
        <v>Calcolo effettuato da:</v>
      </c>
      <c r="F156" s="1257"/>
      <c r="G156" s="1257"/>
      <c r="H156" s="1257"/>
      <c r="I156" s="1257" t="str">
        <f>ANALYSIS!$B$3&amp;" - "&amp;'RENDITE CLIENTE'!$B$2</f>
        <v xml:space="preserve"> - NeoLife AG</v>
      </c>
      <c r="J156" s="1257"/>
      <c r="K156" s="1257"/>
      <c r="L156" s="1257"/>
      <c r="M156" s="1257"/>
      <c r="N156" s="1257"/>
      <c r="O156" s="1258"/>
    </row>
    <row r="157" spans="1:15" ht="14" x14ac:dyDescent="0.25">
      <c r="A157" s="111"/>
      <c r="E157" s="1256" t="str">
        <f>'RENDITE CLIENTE'!$A$3</f>
        <v>Parametri di calcolo:</v>
      </c>
      <c r="F157" s="1257"/>
      <c r="G157" s="1257"/>
      <c r="H157" s="1257"/>
      <c r="I157" s="1257" t="str">
        <f>'RENDITE CLIENTE'!$B$3&amp;" "&amp;ANALYSIS!$B$19</f>
        <v xml:space="preserve">Scala 44 AVS/AI/IPG + Info fornite da:  </v>
      </c>
      <c r="J157" s="1257"/>
      <c r="K157" s="1257"/>
      <c r="L157" s="1257"/>
      <c r="M157" s="1257"/>
      <c r="N157" s="1257"/>
      <c r="O157" s="1258"/>
    </row>
    <row r="158" spans="1:15" ht="14.5" thickBot="1" x14ac:dyDescent="0.3">
      <c r="A158" s="269"/>
      <c r="B158" s="350"/>
      <c r="C158" s="350"/>
      <c r="D158" s="350"/>
      <c r="E158" s="1259" t="str">
        <f>'RENDITE CLIENTE'!$A$4</f>
        <v>Calcolo del:</v>
      </c>
      <c r="F158" s="1260"/>
      <c r="G158" s="1260"/>
      <c r="H158" s="1260"/>
      <c r="I158" s="1261">
        <f ca="1">'RENDITE CLIENTE'!$B$4</f>
        <v>45680.292758449075</v>
      </c>
      <c r="J158" s="1261"/>
      <c r="K158" s="1261"/>
      <c r="L158" s="1261"/>
      <c r="M158" s="1261"/>
      <c r="N158" s="1261"/>
      <c r="O158" s="1262"/>
    </row>
  </sheetData>
  <sheetProtection sheet="1" objects="1" scenarios="1"/>
  <mergeCells count="40">
    <mergeCell ref="E157:H157"/>
    <mergeCell ref="I157:O157"/>
    <mergeCell ref="E158:H158"/>
    <mergeCell ref="I158:O158"/>
    <mergeCell ref="E120:H120"/>
    <mergeCell ref="I120:O120"/>
    <mergeCell ref="E155:H155"/>
    <mergeCell ref="I155:O155"/>
    <mergeCell ref="E156:H156"/>
    <mergeCell ref="I156:O156"/>
    <mergeCell ref="E117:H117"/>
    <mergeCell ref="I117:O117"/>
    <mergeCell ref="E118:H118"/>
    <mergeCell ref="I118:O118"/>
    <mergeCell ref="E119:H119"/>
    <mergeCell ref="I119:O119"/>
    <mergeCell ref="E80:H80"/>
    <mergeCell ref="I80:O80"/>
    <mergeCell ref="E81:H81"/>
    <mergeCell ref="I81:O81"/>
    <mergeCell ref="E82:H82"/>
    <mergeCell ref="I82:O82"/>
    <mergeCell ref="E43:H43"/>
    <mergeCell ref="I43:O43"/>
    <mergeCell ref="E44:H44"/>
    <mergeCell ref="I44:O44"/>
    <mergeCell ref="E79:H79"/>
    <mergeCell ref="I79:O79"/>
    <mergeCell ref="E4:H4"/>
    <mergeCell ref="I4:O4"/>
    <mergeCell ref="E41:H41"/>
    <mergeCell ref="I41:O41"/>
    <mergeCell ref="E42:H42"/>
    <mergeCell ref="I42:O42"/>
    <mergeCell ref="E1:H1"/>
    <mergeCell ref="I1:O1"/>
    <mergeCell ref="E2:H2"/>
    <mergeCell ref="I2:O2"/>
    <mergeCell ref="E3:H3"/>
    <mergeCell ref="I3:O3"/>
  </mergeCells>
  <pageMargins left="0.7" right="0.7" top="0.75" bottom="0.75" header="0.3" footer="0.3"/>
  <pageSetup paperSize="9" orientation="landscape" r:id="rId1"/>
  <rowBreaks count="4" manualBreakCount="4">
    <brk id="39" max="16383" man="1"/>
    <brk id="77" max="16383" man="1"/>
    <brk id="114" max="16383" man="1"/>
    <brk id="152"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78243-B2EB-4257-85F5-18090577BE44}">
  <dimension ref="A1:K170"/>
  <sheetViews>
    <sheetView showGridLines="0" showRowColHeaders="0" zoomScale="110" zoomScaleNormal="110" zoomScaleSheetLayoutView="110" workbookViewId="0">
      <selection activeCell="E1" sqref="E1:J1"/>
    </sheetView>
  </sheetViews>
  <sheetFormatPr defaultRowHeight="12.5" x14ac:dyDescent="0.25"/>
  <cols>
    <col min="5" max="5" width="9.90625" bestFit="1" customWidth="1"/>
  </cols>
  <sheetData>
    <row r="1" spans="1:11" ht="12.5" customHeight="1" x14ac:dyDescent="0.25">
      <c r="A1" s="265"/>
      <c r="B1" s="357"/>
      <c r="C1" s="362" t="str">
        <f>Traduzioni!$G$486</f>
        <v>Calcolo per</v>
      </c>
      <c r="D1" s="363"/>
      <c r="E1" s="1272" t="str">
        <f>Traduzioni!$G$487&amp;" x "&amp;ANALYSIS!B19</f>
        <v xml:space="preserve">Incapacità al guadagno per malattia x </v>
      </c>
      <c r="F1" s="1273"/>
      <c r="G1" s="1273"/>
      <c r="H1" s="1273"/>
      <c r="I1" s="1273"/>
      <c r="J1" s="1274"/>
      <c r="K1" s="354"/>
    </row>
    <row r="2" spans="1:11" ht="12.5" customHeight="1" x14ac:dyDescent="0.25">
      <c r="A2" s="111"/>
      <c r="B2" s="356"/>
      <c r="C2" s="366" t="str">
        <f>'RENDITE CLIENTE'!$A$2</f>
        <v>Calcolo effettuato da:</v>
      </c>
      <c r="D2" s="368"/>
      <c r="E2" s="1275" t="str">
        <f>ANALYSIS!$B$3&amp;" - "&amp;'RENDITE CLIENTE'!$B$2</f>
        <v xml:space="preserve"> - NeoLife AG</v>
      </c>
      <c r="F2" s="1275"/>
      <c r="G2" s="1275"/>
      <c r="H2" s="1275"/>
      <c r="I2" s="1275"/>
      <c r="J2" s="1276"/>
      <c r="K2" s="354"/>
    </row>
    <row r="3" spans="1:11" ht="12.5" customHeight="1" x14ac:dyDescent="0.25">
      <c r="A3" s="111"/>
      <c r="B3" s="356"/>
      <c r="C3" s="366" t="str">
        <f>'RENDITE CLIENTE'!$A$3</f>
        <v>Parametri di calcolo:</v>
      </c>
      <c r="D3" s="368"/>
      <c r="E3" s="1277" t="str">
        <f>'RENDITE CLIENTE'!$B$3&amp;" "&amp;ANALYSIS!$B$19</f>
        <v xml:space="preserve">Scala 44 AVS/AI/IPG + Info fornite da:  </v>
      </c>
      <c r="F3" s="1277"/>
      <c r="G3" s="1277"/>
      <c r="H3" s="1277"/>
      <c r="I3" s="1277"/>
      <c r="J3" s="1278"/>
      <c r="K3" s="354"/>
    </row>
    <row r="4" spans="1:11" ht="12.5" customHeight="1" thickBot="1" x14ac:dyDescent="0.3">
      <c r="A4" s="269"/>
      <c r="B4" s="358"/>
      <c r="C4" s="367" t="str">
        <f>'RENDITE CLIENTE'!$A$4</f>
        <v>Calcolo del:</v>
      </c>
      <c r="D4" s="369"/>
      <c r="E4" s="1279">
        <f ca="1">'RENDITE CLIENTE'!$B$4</f>
        <v>45680.292758449075</v>
      </c>
      <c r="F4" s="1279"/>
      <c r="G4" s="1279"/>
      <c r="H4" s="1279"/>
      <c r="I4" s="1279"/>
      <c r="J4" s="1280"/>
      <c r="K4" s="355"/>
    </row>
    <row r="5" spans="1:11" ht="12.5" customHeight="1" thickBot="1" x14ac:dyDescent="0.3"/>
    <row r="6" spans="1:11" ht="25.5" customHeight="1" x14ac:dyDescent="0.25">
      <c r="A6" s="1269" t="str">
        <f>Traduzioni!$G$491</f>
        <v>SITUAZIONE SENZA OTTIMIZZAZIONE</v>
      </c>
      <c r="B6" s="1270"/>
      <c r="C6" s="1270"/>
      <c r="D6" s="1270"/>
      <c r="E6" s="1270"/>
      <c r="F6" s="1270"/>
      <c r="G6" s="1270"/>
      <c r="H6" s="1270"/>
      <c r="I6" s="1270"/>
      <c r="J6" s="1271"/>
    </row>
    <row r="7" spans="1:11" ht="12.5" customHeight="1" x14ac:dyDescent="0.25">
      <c r="A7" s="111"/>
      <c r="J7" s="112"/>
    </row>
    <row r="8" spans="1:11" ht="12.5" customHeight="1" x14ac:dyDescent="0.25">
      <c r="A8" s="111"/>
      <c r="J8" s="112"/>
    </row>
    <row r="9" spans="1:11" x14ac:dyDescent="0.25">
      <c r="A9" s="111"/>
      <c r="J9" s="112"/>
    </row>
    <row r="10" spans="1:11" x14ac:dyDescent="0.25">
      <c r="A10" s="111"/>
      <c r="J10" s="112"/>
    </row>
    <row r="11" spans="1:11" x14ac:dyDescent="0.25">
      <c r="A11" s="111"/>
      <c r="J11" s="112"/>
    </row>
    <row r="12" spans="1:11" x14ac:dyDescent="0.25">
      <c r="A12" s="111"/>
      <c r="J12" s="112"/>
    </row>
    <row r="13" spans="1:11" x14ac:dyDescent="0.25">
      <c r="A13" s="111"/>
      <c r="J13" s="112"/>
    </row>
    <row r="14" spans="1:11" x14ac:dyDescent="0.25">
      <c r="A14" s="111"/>
      <c r="J14" s="112"/>
    </row>
    <row r="15" spans="1:11" x14ac:dyDescent="0.25">
      <c r="A15" s="111"/>
      <c r="J15" s="112"/>
    </row>
    <row r="16" spans="1:11" x14ac:dyDescent="0.25">
      <c r="A16" s="111"/>
      <c r="J16" s="112"/>
    </row>
    <row r="17" spans="1:10" x14ac:dyDescent="0.25">
      <c r="A17" s="111"/>
      <c r="J17" s="112"/>
    </row>
    <row r="18" spans="1:10" x14ac:dyDescent="0.25">
      <c r="A18" s="111"/>
      <c r="J18" s="112"/>
    </row>
    <row r="19" spans="1:10" x14ac:dyDescent="0.25">
      <c r="A19" s="111"/>
      <c r="J19" s="112"/>
    </row>
    <row r="20" spans="1:10" x14ac:dyDescent="0.25">
      <c r="A20" s="111"/>
      <c r="J20" s="112"/>
    </row>
    <row r="21" spans="1:10" x14ac:dyDescent="0.25">
      <c r="A21" s="111"/>
      <c r="J21" s="112"/>
    </row>
    <row r="22" spans="1:10" x14ac:dyDescent="0.25">
      <c r="A22" s="111"/>
      <c r="J22" s="112"/>
    </row>
    <row r="23" spans="1:10" x14ac:dyDescent="0.25">
      <c r="A23" s="111"/>
      <c r="J23" s="112"/>
    </row>
    <row r="24" spans="1:10" x14ac:dyDescent="0.25">
      <c r="A24" s="111"/>
      <c r="J24" s="112"/>
    </row>
    <row r="25" spans="1:10" x14ac:dyDescent="0.25">
      <c r="A25" s="111"/>
      <c r="J25" s="112"/>
    </row>
    <row r="26" spans="1:10" x14ac:dyDescent="0.25">
      <c r="A26" s="111"/>
      <c r="J26" s="112"/>
    </row>
    <row r="27" spans="1:10" x14ac:dyDescent="0.25">
      <c r="A27" s="111"/>
      <c r="J27" s="112"/>
    </row>
    <row r="28" spans="1:10" x14ac:dyDescent="0.25">
      <c r="A28" s="111"/>
      <c r="J28" s="112"/>
    </row>
    <row r="29" spans="1:10" x14ac:dyDescent="0.25">
      <c r="A29" s="111"/>
      <c r="J29" s="112"/>
    </row>
    <row r="30" spans="1:10" ht="13" thickBot="1" x14ac:dyDescent="0.3">
      <c r="A30" s="269"/>
      <c r="B30" s="350"/>
      <c r="C30" s="350"/>
      <c r="D30" s="350"/>
      <c r="E30" s="350"/>
      <c r="F30" s="350"/>
      <c r="G30" s="350"/>
      <c r="H30" s="350"/>
      <c r="I30" s="350"/>
      <c r="J30" s="359"/>
    </row>
    <row r="31" spans="1:10" ht="13" thickBot="1" x14ac:dyDescent="0.3"/>
    <row r="32" spans="1:10" ht="22.5" x14ac:dyDescent="0.25">
      <c r="A32" s="1269" t="str">
        <f>Traduzioni!$G$492</f>
        <v>SITUAZIONE DOPO OTTIMIZZAZIONE</v>
      </c>
      <c r="B32" s="1270"/>
      <c r="C32" s="1270"/>
      <c r="D32" s="1270"/>
      <c r="E32" s="1270"/>
      <c r="F32" s="1270"/>
      <c r="G32" s="1270"/>
      <c r="H32" s="1270"/>
      <c r="I32" s="1270"/>
      <c r="J32" s="1271"/>
    </row>
    <row r="33" spans="1:10" x14ac:dyDescent="0.25">
      <c r="A33" s="111"/>
      <c r="J33" s="112"/>
    </row>
    <row r="34" spans="1:10" x14ac:dyDescent="0.25">
      <c r="A34" s="111"/>
      <c r="J34" s="112"/>
    </row>
    <row r="35" spans="1:10" x14ac:dyDescent="0.25">
      <c r="A35" s="111"/>
      <c r="J35" s="112"/>
    </row>
    <row r="36" spans="1:10" x14ac:dyDescent="0.25">
      <c r="A36" s="111"/>
      <c r="J36" s="112"/>
    </row>
    <row r="37" spans="1:10" x14ac:dyDescent="0.25">
      <c r="A37" s="111"/>
      <c r="J37" s="112"/>
    </row>
    <row r="38" spans="1:10" x14ac:dyDescent="0.25">
      <c r="A38" s="111"/>
      <c r="J38" s="112"/>
    </row>
    <row r="39" spans="1:10" x14ac:dyDescent="0.25">
      <c r="A39" s="111"/>
      <c r="J39" s="112"/>
    </row>
    <row r="40" spans="1:10" x14ac:dyDescent="0.25">
      <c r="A40" s="111"/>
      <c r="J40" s="112"/>
    </row>
    <row r="41" spans="1:10" x14ac:dyDescent="0.25">
      <c r="A41" s="111"/>
      <c r="J41" s="112"/>
    </row>
    <row r="42" spans="1:10" x14ac:dyDescent="0.25">
      <c r="A42" s="111"/>
      <c r="J42" s="112"/>
    </row>
    <row r="43" spans="1:10" x14ac:dyDescent="0.25">
      <c r="A43" s="111"/>
      <c r="J43" s="112"/>
    </row>
    <row r="44" spans="1:10" x14ac:dyDescent="0.25">
      <c r="A44" s="111"/>
      <c r="J44" s="112"/>
    </row>
    <row r="45" spans="1:10" x14ac:dyDescent="0.25">
      <c r="A45" s="111"/>
      <c r="J45" s="112"/>
    </row>
    <row r="46" spans="1:10" x14ac:dyDescent="0.25">
      <c r="A46" s="111"/>
      <c r="J46" s="112"/>
    </row>
    <row r="47" spans="1:10" x14ac:dyDescent="0.25">
      <c r="A47" s="111"/>
      <c r="J47" s="112"/>
    </row>
    <row r="48" spans="1:10" x14ac:dyDescent="0.25">
      <c r="A48" s="111"/>
      <c r="J48" s="112"/>
    </row>
    <row r="49" spans="1:11" x14ac:dyDescent="0.25">
      <c r="A49" s="111"/>
      <c r="J49" s="112"/>
    </row>
    <row r="50" spans="1:11" x14ac:dyDescent="0.25">
      <c r="A50" s="111"/>
      <c r="J50" s="112"/>
    </row>
    <row r="51" spans="1:11" x14ac:dyDescent="0.25">
      <c r="A51" s="111"/>
      <c r="J51" s="112"/>
    </row>
    <row r="52" spans="1:11" x14ac:dyDescent="0.25">
      <c r="A52" s="111"/>
      <c r="J52" s="112"/>
    </row>
    <row r="53" spans="1:11" x14ac:dyDescent="0.25">
      <c r="A53" s="111"/>
      <c r="J53" s="112"/>
    </row>
    <row r="54" spans="1:11" x14ac:dyDescent="0.25">
      <c r="A54" s="111"/>
      <c r="J54" s="112"/>
    </row>
    <row r="55" spans="1:11" x14ac:dyDescent="0.25">
      <c r="A55" s="111"/>
      <c r="J55" s="112"/>
    </row>
    <row r="56" spans="1:11" ht="13" thickBot="1" x14ac:dyDescent="0.3">
      <c r="A56" s="269"/>
      <c r="B56" s="350"/>
      <c r="C56" s="350"/>
      <c r="D56" s="350"/>
      <c r="E56" s="350"/>
      <c r="F56" s="350"/>
      <c r="G56" s="350"/>
      <c r="H56" s="350"/>
      <c r="I56" s="350"/>
      <c r="J56" s="359"/>
    </row>
    <row r="57" spans="1:11" ht="13" thickBot="1" x14ac:dyDescent="0.3"/>
    <row r="58" spans="1:11" ht="14" x14ac:dyDescent="0.25">
      <c r="A58" s="265"/>
      <c r="B58" s="357"/>
      <c r="C58" s="362" t="str">
        <f>Traduzioni!$G$486</f>
        <v>Calcolo per</v>
      </c>
      <c r="D58" s="363"/>
      <c r="E58" s="1272" t="str">
        <f>Traduzioni!$G$497</f>
        <v xml:space="preserve">Rendite superstiti dec. x mal. Di </v>
      </c>
      <c r="F58" s="1273"/>
      <c r="G58" s="1273"/>
      <c r="H58" s="1273"/>
      <c r="I58" s="1273"/>
      <c r="J58" s="1274"/>
      <c r="K58" s="354"/>
    </row>
    <row r="59" spans="1:11" ht="14" x14ac:dyDescent="0.25">
      <c r="A59" s="111"/>
      <c r="B59" s="356"/>
      <c r="C59" s="366" t="str">
        <f>'RENDITE CLIENTE'!$A$2</f>
        <v>Calcolo effettuato da:</v>
      </c>
      <c r="D59" s="368"/>
      <c r="E59" s="1275" t="str">
        <f>ANALYSIS!$B$3&amp;" - "&amp;'RENDITE CLIENTE'!$B$2</f>
        <v xml:space="preserve"> - NeoLife AG</v>
      </c>
      <c r="F59" s="1275"/>
      <c r="G59" s="1275"/>
      <c r="H59" s="1275"/>
      <c r="I59" s="1275"/>
      <c r="J59" s="1276"/>
      <c r="K59" s="354"/>
    </row>
    <row r="60" spans="1:11" ht="14" x14ac:dyDescent="0.25">
      <c r="A60" s="111"/>
      <c r="B60" s="356"/>
      <c r="C60" s="366" t="str">
        <f>'RENDITE CLIENTE'!$A$3</f>
        <v>Parametri di calcolo:</v>
      </c>
      <c r="D60" s="368"/>
      <c r="E60" s="1277" t="str">
        <f>'RENDITE CLIENTE'!$B$3&amp;" "&amp;ANALYSIS!$B$19</f>
        <v xml:space="preserve">Scala 44 AVS/AI/IPG + Info fornite da:  </v>
      </c>
      <c r="F60" s="1277"/>
      <c r="G60" s="1277"/>
      <c r="H60" s="1277"/>
      <c r="I60" s="1277"/>
      <c r="J60" s="1278"/>
      <c r="K60" s="354"/>
    </row>
    <row r="61" spans="1:11" ht="14.5" thickBot="1" x14ac:dyDescent="0.3">
      <c r="A61" s="269"/>
      <c r="B61" s="358"/>
      <c r="C61" s="367" t="str">
        <f>'RENDITE CLIENTE'!$A$4</f>
        <v>Calcolo del:</v>
      </c>
      <c r="D61" s="369"/>
      <c r="E61" s="1279">
        <f ca="1">'RENDITE CLIENTE'!$B$4</f>
        <v>45680.292758449075</v>
      </c>
      <c r="F61" s="1279"/>
      <c r="G61" s="1279"/>
      <c r="H61" s="1279"/>
      <c r="I61" s="1279"/>
      <c r="J61" s="1280"/>
      <c r="K61" s="355"/>
    </row>
    <row r="62" spans="1:11" ht="13" thickBot="1" x14ac:dyDescent="0.3"/>
    <row r="63" spans="1:11" ht="22.5" x14ac:dyDescent="0.25">
      <c r="A63" s="1269" t="str">
        <f>Traduzioni!$G$491</f>
        <v>SITUAZIONE SENZA OTTIMIZZAZIONE</v>
      </c>
      <c r="B63" s="1270"/>
      <c r="C63" s="1270"/>
      <c r="D63" s="1270"/>
      <c r="E63" s="1270"/>
      <c r="F63" s="1270"/>
      <c r="G63" s="1270"/>
      <c r="H63" s="1270"/>
      <c r="I63" s="1270"/>
      <c r="J63" s="1271"/>
    </row>
    <row r="64" spans="1:11" x14ac:dyDescent="0.25">
      <c r="A64" s="111"/>
      <c r="J64" s="112"/>
    </row>
    <row r="65" spans="1:10" x14ac:dyDescent="0.25">
      <c r="A65" s="111"/>
      <c r="J65" s="112"/>
    </row>
    <row r="66" spans="1:10" x14ac:dyDescent="0.25">
      <c r="A66" s="111"/>
      <c r="J66" s="112"/>
    </row>
    <row r="67" spans="1:10" x14ac:dyDescent="0.25">
      <c r="A67" s="111"/>
      <c r="J67" s="112"/>
    </row>
    <row r="68" spans="1:10" x14ac:dyDescent="0.25">
      <c r="A68" s="111"/>
      <c r="J68" s="112"/>
    </row>
    <row r="69" spans="1:10" x14ac:dyDescent="0.25">
      <c r="A69" s="111"/>
      <c r="J69" s="112"/>
    </row>
    <row r="70" spans="1:10" x14ac:dyDescent="0.25">
      <c r="A70" s="111"/>
      <c r="J70" s="112"/>
    </row>
    <row r="71" spans="1:10" x14ac:dyDescent="0.25">
      <c r="A71" s="111"/>
      <c r="J71" s="112"/>
    </row>
    <row r="72" spans="1:10" x14ac:dyDescent="0.25">
      <c r="A72" s="111"/>
      <c r="J72" s="112"/>
    </row>
    <row r="73" spans="1:10" x14ac:dyDescent="0.25">
      <c r="A73" s="111"/>
      <c r="J73" s="112"/>
    </row>
    <row r="74" spans="1:10" x14ac:dyDescent="0.25">
      <c r="A74" s="111"/>
      <c r="J74" s="112"/>
    </row>
    <row r="75" spans="1:10" x14ac:dyDescent="0.25">
      <c r="A75" s="111"/>
      <c r="J75" s="112"/>
    </row>
    <row r="76" spans="1:10" x14ac:dyDescent="0.25">
      <c r="A76" s="111"/>
      <c r="J76" s="112"/>
    </row>
    <row r="77" spans="1:10" x14ac:dyDescent="0.25">
      <c r="A77" s="111"/>
      <c r="J77" s="112"/>
    </row>
    <row r="78" spans="1:10" x14ac:dyDescent="0.25">
      <c r="A78" s="111"/>
      <c r="J78" s="112"/>
    </row>
    <row r="79" spans="1:10" x14ac:dyDescent="0.25">
      <c r="A79" s="111"/>
      <c r="J79" s="112"/>
    </row>
    <row r="80" spans="1:10" x14ac:dyDescent="0.25">
      <c r="A80" s="111"/>
      <c r="J80" s="112"/>
    </row>
    <row r="81" spans="1:10" x14ac:dyDescent="0.25">
      <c r="A81" s="111"/>
      <c r="J81" s="112"/>
    </row>
    <row r="82" spans="1:10" x14ac:dyDescent="0.25">
      <c r="A82" s="111"/>
      <c r="J82" s="112"/>
    </row>
    <row r="83" spans="1:10" x14ac:dyDescent="0.25">
      <c r="A83" s="111"/>
      <c r="J83" s="112"/>
    </row>
    <row r="84" spans="1:10" x14ac:dyDescent="0.25">
      <c r="A84" s="111"/>
      <c r="J84" s="112"/>
    </row>
    <row r="85" spans="1:10" x14ac:dyDescent="0.25">
      <c r="A85" s="111"/>
      <c r="J85" s="112"/>
    </row>
    <row r="86" spans="1:10" x14ac:dyDescent="0.25">
      <c r="A86" s="111"/>
      <c r="J86" s="112"/>
    </row>
    <row r="87" spans="1:10" ht="13" thickBot="1" x14ac:dyDescent="0.3">
      <c r="A87" s="269"/>
      <c r="B87" s="350"/>
      <c r="C87" s="350"/>
      <c r="D87" s="350"/>
      <c r="E87" s="350"/>
      <c r="F87" s="350"/>
      <c r="G87" s="350"/>
      <c r="H87" s="350"/>
      <c r="I87" s="350"/>
      <c r="J87" s="359"/>
    </row>
    <row r="88" spans="1:10" ht="13" thickBot="1" x14ac:dyDescent="0.3"/>
    <row r="89" spans="1:10" ht="22.5" x14ac:dyDescent="0.25">
      <c r="A89" s="1269" t="str">
        <f>Traduzioni!$G$492</f>
        <v>SITUAZIONE DOPO OTTIMIZZAZIONE</v>
      </c>
      <c r="B89" s="1270"/>
      <c r="C89" s="1270"/>
      <c r="D89" s="1270"/>
      <c r="E89" s="1270"/>
      <c r="F89" s="1270"/>
      <c r="G89" s="1270"/>
      <c r="H89" s="1270"/>
      <c r="I89" s="1270"/>
      <c r="J89" s="1271"/>
    </row>
    <row r="90" spans="1:10" x14ac:dyDescent="0.25">
      <c r="A90" s="111"/>
      <c r="J90" s="112"/>
    </row>
    <row r="91" spans="1:10" x14ac:dyDescent="0.25">
      <c r="A91" s="111"/>
      <c r="J91" s="112"/>
    </row>
    <row r="92" spans="1:10" x14ac:dyDescent="0.25">
      <c r="A92" s="111"/>
      <c r="J92" s="112"/>
    </row>
    <row r="93" spans="1:10" x14ac:dyDescent="0.25">
      <c r="A93" s="111"/>
      <c r="J93" s="112"/>
    </row>
    <row r="94" spans="1:10" x14ac:dyDescent="0.25">
      <c r="A94" s="111"/>
      <c r="J94" s="112"/>
    </row>
    <row r="95" spans="1:10" x14ac:dyDescent="0.25">
      <c r="A95" s="111"/>
      <c r="J95" s="112"/>
    </row>
    <row r="96" spans="1:10" x14ac:dyDescent="0.25">
      <c r="A96" s="111"/>
      <c r="J96" s="112"/>
    </row>
    <row r="97" spans="1:10" x14ac:dyDescent="0.25">
      <c r="A97" s="111"/>
      <c r="J97" s="112"/>
    </row>
    <row r="98" spans="1:10" x14ac:dyDescent="0.25">
      <c r="A98" s="111"/>
      <c r="J98" s="112"/>
    </row>
    <row r="99" spans="1:10" x14ac:dyDescent="0.25">
      <c r="A99" s="111"/>
      <c r="J99" s="112"/>
    </row>
    <row r="100" spans="1:10" x14ac:dyDescent="0.25">
      <c r="A100" s="111"/>
      <c r="J100" s="112"/>
    </row>
    <row r="101" spans="1:10" x14ac:dyDescent="0.25">
      <c r="A101" s="111"/>
      <c r="J101" s="112"/>
    </row>
    <row r="102" spans="1:10" x14ac:dyDescent="0.25">
      <c r="A102" s="111"/>
      <c r="J102" s="112"/>
    </row>
    <row r="103" spans="1:10" x14ac:dyDescent="0.25">
      <c r="A103" s="111"/>
      <c r="J103" s="112"/>
    </row>
    <row r="104" spans="1:10" x14ac:dyDescent="0.25">
      <c r="A104" s="111"/>
      <c r="J104" s="112"/>
    </row>
    <row r="105" spans="1:10" x14ac:dyDescent="0.25">
      <c r="A105" s="111"/>
      <c r="J105" s="112"/>
    </row>
    <row r="106" spans="1:10" x14ac:dyDescent="0.25">
      <c r="A106" s="111"/>
      <c r="J106" s="112"/>
    </row>
    <row r="107" spans="1:10" x14ac:dyDescent="0.25">
      <c r="A107" s="111"/>
      <c r="J107" s="112"/>
    </row>
    <row r="108" spans="1:10" x14ac:dyDescent="0.25">
      <c r="A108" s="111"/>
      <c r="J108" s="112"/>
    </row>
    <row r="109" spans="1:10" x14ac:dyDescent="0.25">
      <c r="A109" s="111"/>
      <c r="J109" s="112"/>
    </row>
    <row r="110" spans="1:10" x14ac:dyDescent="0.25">
      <c r="A110" s="111"/>
      <c r="J110" s="112"/>
    </row>
    <row r="111" spans="1:10" x14ac:dyDescent="0.25">
      <c r="A111" s="111"/>
      <c r="J111" s="112"/>
    </row>
    <row r="112" spans="1:10" x14ac:dyDescent="0.25">
      <c r="A112" s="111"/>
      <c r="J112" s="112"/>
    </row>
    <row r="113" spans="1:11" ht="13" thickBot="1" x14ac:dyDescent="0.3">
      <c r="A113" s="269"/>
      <c r="B113" s="350"/>
      <c r="C113" s="350"/>
      <c r="D113" s="350"/>
      <c r="E113" s="350"/>
      <c r="F113" s="350"/>
      <c r="G113" s="350"/>
      <c r="H113" s="350"/>
      <c r="I113" s="350"/>
      <c r="J113" s="359"/>
    </row>
    <row r="114" spans="1:11" ht="13" thickBot="1" x14ac:dyDescent="0.3"/>
    <row r="115" spans="1:11" ht="14" x14ac:dyDescent="0.25">
      <c r="A115" s="265"/>
      <c r="B115" s="357"/>
      <c r="C115" s="362" t="str">
        <f>Traduzioni!$G$486</f>
        <v>Calcolo per</v>
      </c>
      <c r="D115" s="363"/>
      <c r="E115" s="1272" t="str">
        <f>Traduzioni!G498</f>
        <v xml:space="preserve">Previdenza per la Vecchiaia </v>
      </c>
      <c r="F115" s="1273"/>
      <c r="G115" s="1273"/>
      <c r="H115" s="1273"/>
      <c r="I115" s="1273"/>
      <c r="J115" s="1274"/>
      <c r="K115" s="354"/>
    </row>
    <row r="116" spans="1:11" ht="14" x14ac:dyDescent="0.25">
      <c r="A116" s="111"/>
      <c r="B116" s="356"/>
      <c r="C116" s="366" t="str">
        <f>'RENDITE CLIENTE'!$A$2</f>
        <v>Calcolo effettuato da:</v>
      </c>
      <c r="D116" s="368"/>
      <c r="E116" s="1275" t="str">
        <f>ANALYSIS!$B$3&amp;" - "&amp;'RENDITE CLIENTE'!$B$2</f>
        <v xml:space="preserve"> - NeoLife AG</v>
      </c>
      <c r="F116" s="1275"/>
      <c r="G116" s="1275"/>
      <c r="H116" s="1275"/>
      <c r="I116" s="1275"/>
      <c r="J116" s="1276"/>
      <c r="K116" s="354"/>
    </row>
    <row r="117" spans="1:11" ht="14" x14ac:dyDescent="0.25">
      <c r="A117" s="111"/>
      <c r="B117" s="356"/>
      <c r="C117" s="366" t="str">
        <f>'RENDITE CLIENTE'!$A$3</f>
        <v>Parametri di calcolo:</v>
      </c>
      <c r="D117" s="368"/>
      <c r="E117" s="1277" t="str">
        <f>'RENDITE CLIENTE'!$B$3&amp;" "&amp;ANALYSIS!$B$19</f>
        <v xml:space="preserve">Scala 44 AVS/AI/IPG + Info fornite da:  </v>
      </c>
      <c r="F117" s="1277"/>
      <c r="G117" s="1277"/>
      <c r="H117" s="1277"/>
      <c r="I117" s="1277"/>
      <c r="J117" s="1278"/>
      <c r="K117" s="354"/>
    </row>
    <row r="118" spans="1:11" ht="14.5" thickBot="1" x14ac:dyDescent="0.3">
      <c r="A118" s="269"/>
      <c r="B118" s="358"/>
      <c r="C118" s="367" t="str">
        <f>'RENDITE CLIENTE'!$A$4</f>
        <v>Calcolo del:</v>
      </c>
      <c r="D118" s="369"/>
      <c r="E118" s="1279">
        <f ca="1">'RENDITE CLIENTE'!$B$4</f>
        <v>45680.292758449075</v>
      </c>
      <c r="F118" s="1279"/>
      <c r="G118" s="1279"/>
      <c r="H118" s="1279"/>
      <c r="I118" s="1279"/>
      <c r="J118" s="1280"/>
      <c r="K118" s="355"/>
    </row>
    <row r="119" spans="1:11" ht="13" thickBot="1" x14ac:dyDescent="0.3"/>
    <row r="120" spans="1:11" ht="22.5" x14ac:dyDescent="0.25">
      <c r="A120" s="1269" t="str">
        <f>Traduzioni!$G$491</f>
        <v>SITUAZIONE SENZA OTTIMIZZAZIONE</v>
      </c>
      <c r="B120" s="1270"/>
      <c r="C120" s="1270"/>
      <c r="D120" s="1270"/>
      <c r="E120" s="1270"/>
      <c r="F120" s="1270"/>
      <c r="G120" s="1270"/>
      <c r="H120" s="1270"/>
      <c r="I120" s="1270"/>
      <c r="J120" s="1271"/>
    </row>
    <row r="121" spans="1:11" x14ac:dyDescent="0.25">
      <c r="A121" s="111"/>
      <c r="J121" s="112"/>
    </row>
    <row r="122" spans="1:11" x14ac:dyDescent="0.25">
      <c r="A122" s="111"/>
      <c r="J122" s="112"/>
    </row>
    <row r="123" spans="1:11" x14ac:dyDescent="0.25">
      <c r="A123" s="111"/>
      <c r="J123" s="112"/>
    </row>
    <row r="124" spans="1:11" x14ac:dyDescent="0.25">
      <c r="A124" s="111"/>
      <c r="J124" s="112"/>
    </row>
    <row r="125" spans="1:11" x14ac:dyDescent="0.25">
      <c r="A125" s="111"/>
      <c r="J125" s="112"/>
    </row>
    <row r="126" spans="1:11" x14ac:dyDescent="0.25">
      <c r="A126" s="111"/>
      <c r="J126" s="112"/>
    </row>
    <row r="127" spans="1:11" x14ac:dyDescent="0.25">
      <c r="A127" s="111"/>
      <c r="J127" s="112"/>
    </row>
    <row r="128" spans="1:11" x14ac:dyDescent="0.25">
      <c r="A128" s="111"/>
      <c r="J128" s="112"/>
    </row>
    <row r="129" spans="1:10" x14ac:dyDescent="0.25">
      <c r="A129" s="111"/>
      <c r="J129" s="112"/>
    </row>
    <row r="130" spans="1:10" x14ac:dyDescent="0.25">
      <c r="A130" s="111"/>
      <c r="J130" s="112"/>
    </row>
    <row r="131" spans="1:10" x14ac:dyDescent="0.25">
      <c r="A131" s="111"/>
      <c r="J131" s="112"/>
    </row>
    <row r="132" spans="1:10" x14ac:dyDescent="0.25">
      <c r="A132" s="111"/>
      <c r="J132" s="112"/>
    </row>
    <row r="133" spans="1:10" x14ac:dyDescent="0.25">
      <c r="A133" s="111"/>
      <c r="J133" s="112"/>
    </row>
    <row r="134" spans="1:10" x14ac:dyDescent="0.25">
      <c r="A134" s="111"/>
      <c r="J134" s="112"/>
    </row>
    <row r="135" spans="1:10" x14ac:dyDescent="0.25">
      <c r="A135" s="111"/>
      <c r="J135" s="112"/>
    </row>
    <row r="136" spans="1:10" x14ac:dyDescent="0.25">
      <c r="A136" s="111"/>
      <c r="J136" s="112"/>
    </row>
    <row r="137" spans="1:10" x14ac:dyDescent="0.25">
      <c r="A137" s="111"/>
      <c r="J137" s="112"/>
    </row>
    <row r="138" spans="1:10" x14ac:dyDescent="0.25">
      <c r="A138" s="111"/>
      <c r="J138" s="112"/>
    </row>
    <row r="139" spans="1:10" x14ac:dyDescent="0.25">
      <c r="A139" s="111"/>
      <c r="J139" s="112"/>
    </row>
    <row r="140" spans="1:10" x14ac:dyDescent="0.25">
      <c r="A140" s="111"/>
      <c r="J140" s="112"/>
    </row>
    <row r="141" spans="1:10" x14ac:dyDescent="0.25">
      <c r="A141" s="111"/>
      <c r="J141" s="112"/>
    </row>
    <row r="142" spans="1:10" x14ac:dyDescent="0.25">
      <c r="A142" s="111"/>
      <c r="J142" s="112"/>
    </row>
    <row r="143" spans="1:10" x14ac:dyDescent="0.25">
      <c r="A143" s="111"/>
      <c r="J143" s="112"/>
    </row>
    <row r="144" spans="1:10" ht="13" thickBot="1" x14ac:dyDescent="0.3">
      <c r="A144" s="269"/>
      <c r="B144" s="350"/>
      <c r="C144" s="350"/>
      <c r="D144" s="350"/>
      <c r="E144" s="350"/>
      <c r="F144" s="350"/>
      <c r="G144" s="350"/>
      <c r="H144" s="350"/>
      <c r="I144" s="350"/>
      <c r="J144" s="359"/>
    </row>
    <row r="145" spans="1:10" ht="13" thickBot="1" x14ac:dyDescent="0.3"/>
    <row r="146" spans="1:10" ht="22.5" x14ac:dyDescent="0.25">
      <c r="A146" s="1269" t="str">
        <f>Traduzioni!$G$492</f>
        <v>SITUAZIONE DOPO OTTIMIZZAZIONE</v>
      </c>
      <c r="B146" s="1270"/>
      <c r="C146" s="1270"/>
      <c r="D146" s="1270"/>
      <c r="E146" s="1270"/>
      <c r="F146" s="1270"/>
      <c r="G146" s="1270"/>
      <c r="H146" s="1270"/>
      <c r="I146" s="1270"/>
      <c r="J146" s="1271"/>
    </row>
    <row r="147" spans="1:10" x14ac:dyDescent="0.25">
      <c r="A147" s="111"/>
      <c r="J147" s="112"/>
    </row>
    <row r="148" spans="1:10" x14ac:dyDescent="0.25">
      <c r="A148" s="111"/>
      <c r="J148" s="112"/>
    </row>
    <row r="149" spans="1:10" x14ac:dyDescent="0.25">
      <c r="A149" s="111"/>
      <c r="J149" s="112"/>
    </row>
    <row r="150" spans="1:10" x14ac:dyDescent="0.25">
      <c r="A150" s="111"/>
      <c r="J150" s="112"/>
    </row>
    <row r="151" spans="1:10" x14ac:dyDescent="0.25">
      <c r="A151" s="111"/>
      <c r="J151" s="112"/>
    </row>
    <row r="152" spans="1:10" x14ac:dyDescent="0.25">
      <c r="A152" s="111"/>
      <c r="J152" s="112"/>
    </row>
    <row r="153" spans="1:10" x14ac:dyDescent="0.25">
      <c r="A153" s="111"/>
      <c r="J153" s="112"/>
    </row>
    <row r="154" spans="1:10" x14ac:dyDescent="0.25">
      <c r="A154" s="111"/>
      <c r="J154" s="112"/>
    </row>
    <row r="155" spans="1:10" x14ac:dyDescent="0.25">
      <c r="A155" s="111"/>
      <c r="J155" s="112"/>
    </row>
    <row r="156" spans="1:10" x14ac:dyDescent="0.25">
      <c r="A156" s="111"/>
      <c r="J156" s="112"/>
    </row>
    <row r="157" spans="1:10" x14ac:dyDescent="0.25">
      <c r="A157" s="111"/>
      <c r="J157" s="112"/>
    </row>
    <row r="158" spans="1:10" x14ac:dyDescent="0.25">
      <c r="A158" s="111"/>
      <c r="J158" s="112"/>
    </row>
    <row r="159" spans="1:10" x14ac:dyDescent="0.25">
      <c r="A159" s="111"/>
      <c r="J159" s="112"/>
    </row>
    <row r="160" spans="1:10" x14ac:dyDescent="0.25">
      <c r="A160" s="111"/>
      <c r="J160" s="112"/>
    </row>
    <row r="161" spans="1:10" x14ac:dyDescent="0.25">
      <c r="A161" s="111"/>
      <c r="J161" s="112"/>
    </row>
    <row r="162" spans="1:10" x14ac:dyDescent="0.25">
      <c r="A162" s="111"/>
      <c r="J162" s="112"/>
    </row>
    <row r="163" spans="1:10" x14ac:dyDescent="0.25">
      <c r="A163" s="111"/>
      <c r="J163" s="112"/>
    </row>
    <row r="164" spans="1:10" x14ac:dyDescent="0.25">
      <c r="A164" s="111"/>
      <c r="J164" s="112"/>
    </row>
    <row r="165" spans="1:10" x14ac:dyDescent="0.25">
      <c r="A165" s="111"/>
      <c r="J165" s="112"/>
    </row>
    <row r="166" spans="1:10" x14ac:dyDescent="0.25">
      <c r="A166" s="111"/>
      <c r="J166" s="112"/>
    </row>
    <row r="167" spans="1:10" x14ac:dyDescent="0.25">
      <c r="A167" s="111"/>
      <c r="J167" s="112"/>
    </row>
    <row r="168" spans="1:10" x14ac:dyDescent="0.25">
      <c r="A168" s="111"/>
      <c r="J168" s="112"/>
    </row>
    <row r="169" spans="1:10" x14ac:dyDescent="0.25">
      <c r="A169" s="111"/>
      <c r="J169" s="112"/>
    </row>
    <row r="170" spans="1:10" ht="13" thickBot="1" x14ac:dyDescent="0.3">
      <c r="A170" s="269"/>
      <c r="B170" s="350"/>
      <c r="C170" s="350"/>
      <c r="D170" s="350"/>
      <c r="E170" s="350"/>
      <c r="F170" s="350"/>
      <c r="G170" s="350"/>
      <c r="H170" s="350"/>
      <c r="I170" s="350"/>
      <c r="J170" s="359"/>
    </row>
  </sheetData>
  <sheetProtection sheet="1" objects="1" scenarios="1"/>
  <mergeCells count="18">
    <mergeCell ref="A120:J120"/>
    <mergeCell ref="A146:J146"/>
    <mergeCell ref="A89:J89"/>
    <mergeCell ref="E115:J115"/>
    <mergeCell ref="E116:J116"/>
    <mergeCell ref="E117:J117"/>
    <mergeCell ref="E118:J118"/>
    <mergeCell ref="E58:J58"/>
    <mergeCell ref="E59:J59"/>
    <mergeCell ref="E60:J60"/>
    <mergeCell ref="E61:J61"/>
    <mergeCell ref="A63:J63"/>
    <mergeCell ref="A32:J32"/>
    <mergeCell ref="A6:J6"/>
    <mergeCell ref="E1:J1"/>
    <mergeCell ref="E2:J2"/>
    <mergeCell ref="E3:J3"/>
    <mergeCell ref="E4:J4"/>
  </mergeCells>
  <pageMargins left="0.7" right="0.7" top="0.75" bottom="0.75" header="0.3" footer="0.3"/>
  <pageSetup paperSize="9" orientation="portrait" r:id="rId1"/>
  <rowBreaks count="2" manualBreakCount="2">
    <brk id="57" max="16383" man="1"/>
    <brk id="11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D7B74-6E95-4023-A59C-F1E087A4B4A5}">
  <dimension ref="A1:K170"/>
  <sheetViews>
    <sheetView showGridLines="0" showRowColHeaders="0" zoomScale="120" zoomScaleNormal="120" zoomScaleSheetLayoutView="110" workbookViewId="0">
      <selection activeCell="E1" sqref="E1:J1"/>
    </sheetView>
  </sheetViews>
  <sheetFormatPr defaultRowHeight="12.5" x14ac:dyDescent="0.25"/>
  <cols>
    <col min="5" max="5" width="9.90625" bestFit="1" customWidth="1"/>
  </cols>
  <sheetData>
    <row r="1" spans="1:11" ht="12.5" customHeight="1" x14ac:dyDescent="0.25">
      <c r="A1" s="265"/>
      <c r="B1" s="357"/>
      <c r="C1" s="362" t="str">
        <f>Traduzioni!$G$486</f>
        <v>Calcolo per</v>
      </c>
      <c r="D1" s="363"/>
      <c r="E1" s="1272" t="str">
        <f>Traduzioni!$G$487&amp;" x "&amp;ANALYSIS!C19</f>
        <v xml:space="preserve">Incapacità al guadagno per malattia x </v>
      </c>
      <c r="F1" s="1273"/>
      <c r="G1" s="1273"/>
      <c r="H1" s="1273"/>
      <c r="I1" s="1273"/>
      <c r="J1" s="1274"/>
      <c r="K1" s="354"/>
    </row>
    <row r="2" spans="1:11" ht="12.5" customHeight="1" x14ac:dyDescent="0.25">
      <c r="A2" s="111"/>
      <c r="B2" s="356"/>
      <c r="C2" s="366" t="str">
        <f>'RENDITE CLIENTE'!$A$2</f>
        <v>Calcolo effettuato da:</v>
      </c>
      <c r="D2" s="368"/>
      <c r="E2" s="1275" t="str">
        <f>ANALYSIS!$B$3&amp;" - "&amp;'RENDITE CLIENTE'!$B$2</f>
        <v xml:space="preserve"> - NeoLife AG</v>
      </c>
      <c r="F2" s="1275"/>
      <c r="G2" s="1275"/>
      <c r="H2" s="1275"/>
      <c r="I2" s="1275"/>
      <c r="J2" s="1276"/>
      <c r="K2" s="354"/>
    </row>
    <row r="3" spans="1:11" ht="12.5" customHeight="1" x14ac:dyDescent="0.25">
      <c r="A3" s="111"/>
      <c r="B3" s="356"/>
      <c r="C3" s="371" t="str">
        <f>'RENDITE CLIENTE'!$A$3</f>
        <v>Parametri di calcolo:</v>
      </c>
      <c r="D3" s="370"/>
      <c r="E3" s="1277" t="str">
        <f>'RENDITE CLIENTE'!$B$3&amp;" "&amp;ANALYSIS!$C$19</f>
        <v xml:space="preserve">Scala 44 AVS/AI/IPG + Info fornite da:  </v>
      </c>
      <c r="F3" s="1277"/>
      <c r="G3" s="1277"/>
      <c r="H3" s="1277"/>
      <c r="I3" s="1277"/>
      <c r="J3" s="1278"/>
      <c r="K3" s="354"/>
    </row>
    <row r="4" spans="1:11" ht="12.5" customHeight="1" thickBot="1" x14ac:dyDescent="0.3">
      <c r="A4" s="269"/>
      <c r="B4" s="358"/>
      <c r="C4" s="367" t="str">
        <f>'RENDITE CLIENTE'!$A$4</f>
        <v>Calcolo del:</v>
      </c>
      <c r="D4" s="369"/>
      <c r="E4" s="1279">
        <f ca="1">'RENDITE CLIENTE'!$B$4</f>
        <v>45680.292758449075</v>
      </c>
      <c r="F4" s="1279"/>
      <c r="G4" s="1279"/>
      <c r="H4" s="1279"/>
      <c r="I4" s="1279"/>
      <c r="J4" s="1280"/>
      <c r="K4" s="355"/>
    </row>
    <row r="5" spans="1:11" ht="12.5" customHeight="1" thickBot="1" x14ac:dyDescent="0.3"/>
    <row r="6" spans="1:11" ht="25.5" customHeight="1" x14ac:dyDescent="0.25">
      <c r="A6" s="1269" t="str">
        <f>Traduzioni!$G$491</f>
        <v>SITUAZIONE SENZA OTTIMIZZAZIONE</v>
      </c>
      <c r="B6" s="1270"/>
      <c r="C6" s="1270"/>
      <c r="D6" s="1270"/>
      <c r="E6" s="1270"/>
      <c r="F6" s="1270"/>
      <c r="G6" s="1270"/>
      <c r="H6" s="1270"/>
      <c r="I6" s="1270"/>
      <c r="J6" s="1271"/>
    </row>
    <row r="7" spans="1:11" ht="12.5" customHeight="1" x14ac:dyDescent="0.25">
      <c r="A7" s="111"/>
      <c r="J7" s="112"/>
    </row>
    <row r="8" spans="1:11" ht="12.5" customHeight="1" x14ac:dyDescent="0.25">
      <c r="A8" s="111"/>
      <c r="J8" s="112"/>
    </row>
    <row r="9" spans="1:11" x14ac:dyDescent="0.25">
      <c r="A9" s="111"/>
      <c r="J9" s="112"/>
    </row>
    <row r="10" spans="1:11" x14ac:dyDescent="0.25">
      <c r="A10" s="111"/>
      <c r="J10" s="112"/>
    </row>
    <row r="11" spans="1:11" x14ac:dyDescent="0.25">
      <c r="A11" s="111"/>
      <c r="J11" s="112"/>
    </row>
    <row r="12" spans="1:11" x14ac:dyDescent="0.25">
      <c r="A12" s="111"/>
      <c r="J12" s="112"/>
    </row>
    <row r="13" spans="1:11" x14ac:dyDescent="0.25">
      <c r="A13" s="111"/>
      <c r="J13" s="112"/>
    </row>
    <row r="14" spans="1:11" x14ac:dyDescent="0.25">
      <c r="A14" s="111"/>
      <c r="J14" s="112"/>
    </row>
    <row r="15" spans="1:11" x14ac:dyDescent="0.25">
      <c r="A15" s="111"/>
      <c r="J15" s="112"/>
    </row>
    <row r="16" spans="1:11" x14ac:dyDescent="0.25">
      <c r="A16" s="111"/>
      <c r="J16" s="112"/>
    </row>
    <row r="17" spans="1:10" x14ac:dyDescent="0.25">
      <c r="A17" s="111"/>
      <c r="J17" s="112"/>
    </row>
    <row r="18" spans="1:10" x14ac:dyDescent="0.25">
      <c r="A18" s="111"/>
      <c r="J18" s="112"/>
    </row>
    <row r="19" spans="1:10" x14ac:dyDescent="0.25">
      <c r="A19" s="111"/>
      <c r="J19" s="112"/>
    </row>
    <row r="20" spans="1:10" x14ac:dyDescent="0.25">
      <c r="A20" s="111"/>
      <c r="J20" s="112"/>
    </row>
    <row r="21" spans="1:10" x14ac:dyDescent="0.25">
      <c r="A21" s="111"/>
      <c r="J21" s="112"/>
    </row>
    <row r="22" spans="1:10" x14ac:dyDescent="0.25">
      <c r="A22" s="111"/>
      <c r="J22" s="112"/>
    </row>
    <row r="23" spans="1:10" x14ac:dyDescent="0.25">
      <c r="A23" s="111"/>
      <c r="J23" s="112"/>
    </row>
    <row r="24" spans="1:10" x14ac:dyDescent="0.25">
      <c r="A24" s="111"/>
      <c r="J24" s="112"/>
    </row>
    <row r="25" spans="1:10" x14ac:dyDescent="0.25">
      <c r="A25" s="111"/>
      <c r="J25" s="112"/>
    </row>
    <row r="26" spans="1:10" x14ac:dyDescent="0.25">
      <c r="A26" s="111"/>
      <c r="J26" s="112"/>
    </row>
    <row r="27" spans="1:10" x14ac:dyDescent="0.25">
      <c r="A27" s="111"/>
      <c r="J27" s="112"/>
    </row>
    <row r="28" spans="1:10" x14ac:dyDescent="0.25">
      <c r="A28" s="111"/>
      <c r="J28" s="112"/>
    </row>
    <row r="29" spans="1:10" x14ac:dyDescent="0.25">
      <c r="A29" s="111"/>
      <c r="J29" s="112"/>
    </row>
    <row r="30" spans="1:10" ht="13" thickBot="1" x14ac:dyDescent="0.3">
      <c r="A30" s="269"/>
      <c r="B30" s="350"/>
      <c r="C30" s="350"/>
      <c r="D30" s="350"/>
      <c r="E30" s="350"/>
      <c r="F30" s="350"/>
      <c r="G30" s="350"/>
      <c r="H30" s="350"/>
      <c r="I30" s="350"/>
      <c r="J30" s="359"/>
    </row>
    <row r="31" spans="1:10" ht="13" thickBot="1" x14ac:dyDescent="0.3"/>
    <row r="32" spans="1:10" ht="22.5" x14ac:dyDescent="0.25">
      <c r="A32" s="1269" t="str">
        <f>Traduzioni!$G$492</f>
        <v>SITUAZIONE DOPO OTTIMIZZAZIONE</v>
      </c>
      <c r="B32" s="1270"/>
      <c r="C32" s="1270"/>
      <c r="D32" s="1270"/>
      <c r="E32" s="1270"/>
      <c r="F32" s="1270"/>
      <c r="G32" s="1270"/>
      <c r="H32" s="1270"/>
      <c r="I32" s="1270"/>
      <c r="J32" s="1271"/>
    </row>
    <row r="33" spans="1:10" x14ac:dyDescent="0.25">
      <c r="A33" s="111"/>
      <c r="J33" s="112"/>
    </row>
    <row r="34" spans="1:10" x14ac:dyDescent="0.25">
      <c r="A34" s="111"/>
      <c r="J34" s="112"/>
    </row>
    <row r="35" spans="1:10" x14ac:dyDescent="0.25">
      <c r="A35" s="111"/>
      <c r="J35" s="112"/>
    </row>
    <row r="36" spans="1:10" x14ac:dyDescent="0.25">
      <c r="A36" s="111"/>
      <c r="J36" s="112"/>
    </row>
    <row r="37" spans="1:10" x14ac:dyDescent="0.25">
      <c r="A37" s="111"/>
      <c r="J37" s="112"/>
    </row>
    <row r="38" spans="1:10" x14ac:dyDescent="0.25">
      <c r="A38" s="111"/>
      <c r="J38" s="112"/>
    </row>
    <row r="39" spans="1:10" x14ac:dyDescent="0.25">
      <c r="A39" s="111"/>
      <c r="J39" s="112"/>
    </row>
    <row r="40" spans="1:10" x14ac:dyDescent="0.25">
      <c r="A40" s="111"/>
      <c r="J40" s="112"/>
    </row>
    <row r="41" spans="1:10" x14ac:dyDescent="0.25">
      <c r="A41" s="111"/>
      <c r="J41" s="112"/>
    </row>
    <row r="42" spans="1:10" x14ac:dyDescent="0.25">
      <c r="A42" s="111"/>
      <c r="J42" s="112"/>
    </row>
    <row r="43" spans="1:10" x14ac:dyDescent="0.25">
      <c r="A43" s="111"/>
      <c r="J43" s="112"/>
    </row>
    <row r="44" spans="1:10" x14ac:dyDescent="0.25">
      <c r="A44" s="111"/>
      <c r="J44" s="112"/>
    </row>
    <row r="45" spans="1:10" x14ac:dyDescent="0.25">
      <c r="A45" s="111"/>
      <c r="J45" s="112"/>
    </row>
    <row r="46" spans="1:10" x14ac:dyDescent="0.25">
      <c r="A46" s="111"/>
      <c r="J46" s="112"/>
    </row>
    <row r="47" spans="1:10" x14ac:dyDescent="0.25">
      <c r="A47" s="111"/>
      <c r="J47" s="112"/>
    </row>
    <row r="48" spans="1:10" x14ac:dyDescent="0.25">
      <c r="A48" s="111"/>
      <c r="J48" s="112"/>
    </row>
    <row r="49" spans="1:11" x14ac:dyDescent="0.25">
      <c r="A49" s="111"/>
      <c r="J49" s="112"/>
    </row>
    <row r="50" spans="1:11" x14ac:dyDescent="0.25">
      <c r="A50" s="111"/>
      <c r="J50" s="112"/>
    </row>
    <row r="51" spans="1:11" x14ac:dyDescent="0.25">
      <c r="A51" s="111"/>
      <c r="J51" s="112"/>
    </row>
    <row r="52" spans="1:11" x14ac:dyDescent="0.25">
      <c r="A52" s="111"/>
      <c r="J52" s="112"/>
    </row>
    <row r="53" spans="1:11" x14ac:dyDescent="0.25">
      <c r="A53" s="111"/>
      <c r="J53" s="112"/>
    </row>
    <row r="54" spans="1:11" x14ac:dyDescent="0.25">
      <c r="A54" s="111"/>
      <c r="J54" s="112"/>
    </row>
    <row r="55" spans="1:11" x14ac:dyDescent="0.25">
      <c r="A55" s="111"/>
      <c r="J55" s="112"/>
    </row>
    <row r="56" spans="1:11" ht="13" thickBot="1" x14ac:dyDescent="0.3">
      <c r="A56" s="269"/>
      <c r="B56" s="350"/>
      <c r="C56" s="350"/>
      <c r="D56" s="350"/>
      <c r="E56" s="350"/>
      <c r="F56" s="350"/>
      <c r="G56" s="350"/>
      <c r="H56" s="350"/>
      <c r="I56" s="350"/>
      <c r="J56" s="359"/>
    </row>
    <row r="57" spans="1:11" ht="13" thickBot="1" x14ac:dyDescent="0.3"/>
    <row r="58" spans="1:11" ht="14" x14ac:dyDescent="0.25">
      <c r="A58" s="265"/>
      <c r="B58" s="357"/>
      <c r="C58" s="362" t="str">
        <f>Traduzioni!$G$486</f>
        <v>Calcolo per</v>
      </c>
      <c r="D58" s="363"/>
      <c r="E58" s="1272" t="str">
        <f>Traduzioni!G500</f>
        <v xml:space="preserve">Rendite superstiti dec. x mal. Di </v>
      </c>
      <c r="F58" s="1273"/>
      <c r="G58" s="1273"/>
      <c r="H58" s="1273"/>
      <c r="I58" s="1273"/>
      <c r="J58" s="1274"/>
      <c r="K58" s="354"/>
    </row>
    <row r="59" spans="1:11" ht="14" x14ac:dyDescent="0.25">
      <c r="A59" s="111"/>
      <c r="B59" s="356"/>
      <c r="C59" s="366" t="str">
        <f>'RENDITE CLIENTE'!$A$2</f>
        <v>Calcolo effettuato da:</v>
      </c>
      <c r="D59" s="368"/>
      <c r="E59" s="1275" t="str">
        <f>ANALYSIS!$B$3&amp;" - "&amp;'RENDITE CLIENTE'!$B$2</f>
        <v xml:space="preserve"> - NeoLife AG</v>
      </c>
      <c r="F59" s="1275"/>
      <c r="G59" s="1275"/>
      <c r="H59" s="1275"/>
      <c r="I59" s="1275"/>
      <c r="J59" s="1276"/>
      <c r="K59" s="354"/>
    </row>
    <row r="60" spans="1:11" ht="14" x14ac:dyDescent="0.25">
      <c r="A60" s="111"/>
      <c r="B60" s="356"/>
      <c r="C60" s="366" t="str">
        <f>'RENDITE CLIENTE'!$A$3</f>
        <v>Parametri di calcolo:</v>
      </c>
      <c r="D60" s="368"/>
      <c r="E60" s="1277" t="str">
        <f>'RENDITE CLIENTE'!$B$3&amp;" "&amp;ANALYSIS!$C$19</f>
        <v xml:space="preserve">Scala 44 AVS/AI/IPG + Info fornite da:  </v>
      </c>
      <c r="F60" s="1277"/>
      <c r="G60" s="1277"/>
      <c r="H60" s="1277"/>
      <c r="I60" s="1277"/>
      <c r="J60" s="1278"/>
      <c r="K60" s="354"/>
    </row>
    <row r="61" spans="1:11" ht="14.5" thickBot="1" x14ac:dyDescent="0.3">
      <c r="A61" s="269"/>
      <c r="B61" s="358"/>
      <c r="C61" s="367" t="str">
        <f>'RENDITE CLIENTE'!$A$4</f>
        <v>Calcolo del:</v>
      </c>
      <c r="D61" s="369"/>
      <c r="E61" s="1279">
        <f ca="1">'RENDITE CLIENTE'!$B$4</f>
        <v>45680.292758449075</v>
      </c>
      <c r="F61" s="1279"/>
      <c r="G61" s="1279"/>
      <c r="H61" s="1279"/>
      <c r="I61" s="1279"/>
      <c r="J61" s="1280"/>
      <c r="K61" s="355"/>
    </row>
    <row r="62" spans="1:11" ht="13" thickBot="1" x14ac:dyDescent="0.3"/>
    <row r="63" spans="1:11" ht="22.5" x14ac:dyDescent="0.25">
      <c r="A63" s="1269" t="str">
        <f>Traduzioni!$G$491</f>
        <v>SITUAZIONE SENZA OTTIMIZZAZIONE</v>
      </c>
      <c r="B63" s="1270"/>
      <c r="C63" s="1270"/>
      <c r="D63" s="1270"/>
      <c r="E63" s="1270"/>
      <c r="F63" s="1270"/>
      <c r="G63" s="1270"/>
      <c r="H63" s="1270"/>
      <c r="I63" s="1270"/>
      <c r="J63" s="1271"/>
    </row>
    <row r="64" spans="1:11" x14ac:dyDescent="0.25">
      <c r="A64" s="111"/>
      <c r="J64" s="112"/>
    </row>
    <row r="65" spans="1:10" x14ac:dyDescent="0.25">
      <c r="A65" s="111"/>
      <c r="J65" s="112"/>
    </row>
    <row r="66" spans="1:10" x14ac:dyDescent="0.25">
      <c r="A66" s="111"/>
      <c r="J66" s="112"/>
    </row>
    <row r="67" spans="1:10" x14ac:dyDescent="0.25">
      <c r="A67" s="111"/>
      <c r="J67" s="112"/>
    </row>
    <row r="68" spans="1:10" x14ac:dyDescent="0.25">
      <c r="A68" s="111"/>
      <c r="J68" s="112"/>
    </row>
    <row r="69" spans="1:10" x14ac:dyDescent="0.25">
      <c r="A69" s="111"/>
      <c r="J69" s="112"/>
    </row>
    <row r="70" spans="1:10" x14ac:dyDescent="0.25">
      <c r="A70" s="111"/>
      <c r="J70" s="112"/>
    </row>
    <row r="71" spans="1:10" x14ac:dyDescent="0.25">
      <c r="A71" s="111"/>
      <c r="J71" s="112"/>
    </row>
    <row r="72" spans="1:10" x14ac:dyDescent="0.25">
      <c r="A72" s="111"/>
      <c r="J72" s="112"/>
    </row>
    <row r="73" spans="1:10" x14ac:dyDescent="0.25">
      <c r="A73" s="111"/>
      <c r="J73" s="112"/>
    </row>
    <row r="74" spans="1:10" x14ac:dyDescent="0.25">
      <c r="A74" s="111"/>
      <c r="J74" s="112"/>
    </row>
    <row r="75" spans="1:10" x14ac:dyDescent="0.25">
      <c r="A75" s="111"/>
      <c r="J75" s="112"/>
    </row>
    <row r="76" spans="1:10" x14ac:dyDescent="0.25">
      <c r="A76" s="111"/>
      <c r="J76" s="112"/>
    </row>
    <row r="77" spans="1:10" x14ac:dyDescent="0.25">
      <c r="A77" s="111"/>
      <c r="J77" s="112"/>
    </row>
    <row r="78" spans="1:10" x14ac:dyDescent="0.25">
      <c r="A78" s="111"/>
      <c r="J78" s="112"/>
    </row>
    <row r="79" spans="1:10" x14ac:dyDescent="0.25">
      <c r="A79" s="111"/>
      <c r="J79" s="112"/>
    </row>
    <row r="80" spans="1:10" x14ac:dyDescent="0.25">
      <c r="A80" s="111"/>
      <c r="J80" s="112"/>
    </row>
    <row r="81" spans="1:10" x14ac:dyDescent="0.25">
      <c r="A81" s="111"/>
      <c r="J81" s="112"/>
    </row>
    <row r="82" spans="1:10" x14ac:dyDescent="0.25">
      <c r="A82" s="111"/>
      <c r="J82" s="112"/>
    </row>
    <row r="83" spans="1:10" x14ac:dyDescent="0.25">
      <c r="A83" s="111"/>
      <c r="J83" s="112"/>
    </row>
    <row r="84" spans="1:10" x14ac:dyDescent="0.25">
      <c r="A84" s="111"/>
      <c r="J84" s="112"/>
    </row>
    <row r="85" spans="1:10" x14ac:dyDescent="0.25">
      <c r="A85" s="111"/>
      <c r="J85" s="112"/>
    </row>
    <row r="86" spans="1:10" x14ac:dyDescent="0.25">
      <c r="A86" s="111"/>
      <c r="J86" s="112"/>
    </row>
    <row r="87" spans="1:10" ht="13" thickBot="1" x14ac:dyDescent="0.3">
      <c r="A87" s="269"/>
      <c r="B87" s="350"/>
      <c r="C87" s="350"/>
      <c r="D87" s="350"/>
      <c r="E87" s="350"/>
      <c r="F87" s="350"/>
      <c r="G87" s="350"/>
      <c r="H87" s="350"/>
      <c r="I87" s="350"/>
      <c r="J87" s="359"/>
    </row>
    <row r="88" spans="1:10" ht="13" thickBot="1" x14ac:dyDescent="0.3"/>
    <row r="89" spans="1:10" ht="22.5" x14ac:dyDescent="0.25">
      <c r="A89" s="1269" t="str">
        <f>Traduzioni!$G$492</f>
        <v>SITUAZIONE DOPO OTTIMIZZAZIONE</v>
      </c>
      <c r="B89" s="1270"/>
      <c r="C89" s="1270"/>
      <c r="D89" s="1270"/>
      <c r="E89" s="1270"/>
      <c r="F89" s="1270"/>
      <c r="G89" s="1270"/>
      <c r="H89" s="1270"/>
      <c r="I89" s="1270"/>
      <c r="J89" s="1271"/>
    </row>
    <row r="90" spans="1:10" x14ac:dyDescent="0.25">
      <c r="A90" s="111"/>
      <c r="J90" s="112"/>
    </row>
    <row r="91" spans="1:10" x14ac:dyDescent="0.25">
      <c r="A91" s="111"/>
      <c r="J91" s="112"/>
    </row>
    <row r="92" spans="1:10" x14ac:dyDescent="0.25">
      <c r="A92" s="111"/>
      <c r="J92" s="112"/>
    </row>
    <row r="93" spans="1:10" x14ac:dyDescent="0.25">
      <c r="A93" s="111"/>
      <c r="J93" s="112"/>
    </row>
    <row r="94" spans="1:10" x14ac:dyDescent="0.25">
      <c r="A94" s="111"/>
      <c r="J94" s="112"/>
    </row>
    <row r="95" spans="1:10" x14ac:dyDescent="0.25">
      <c r="A95" s="111"/>
      <c r="J95" s="112"/>
    </row>
    <row r="96" spans="1:10" x14ac:dyDescent="0.25">
      <c r="A96" s="111"/>
      <c r="J96" s="112"/>
    </row>
    <row r="97" spans="1:10" x14ac:dyDescent="0.25">
      <c r="A97" s="111"/>
      <c r="J97" s="112"/>
    </row>
    <row r="98" spans="1:10" x14ac:dyDescent="0.25">
      <c r="A98" s="111"/>
      <c r="J98" s="112"/>
    </row>
    <row r="99" spans="1:10" x14ac:dyDescent="0.25">
      <c r="A99" s="111"/>
      <c r="J99" s="112"/>
    </row>
    <row r="100" spans="1:10" x14ac:dyDescent="0.25">
      <c r="A100" s="111"/>
      <c r="J100" s="112"/>
    </row>
    <row r="101" spans="1:10" x14ac:dyDescent="0.25">
      <c r="A101" s="111"/>
      <c r="J101" s="112"/>
    </row>
    <row r="102" spans="1:10" x14ac:dyDescent="0.25">
      <c r="A102" s="111"/>
      <c r="J102" s="112"/>
    </row>
    <row r="103" spans="1:10" x14ac:dyDescent="0.25">
      <c r="A103" s="111"/>
      <c r="J103" s="112"/>
    </row>
    <row r="104" spans="1:10" x14ac:dyDescent="0.25">
      <c r="A104" s="111"/>
      <c r="J104" s="112"/>
    </row>
    <row r="105" spans="1:10" x14ac:dyDescent="0.25">
      <c r="A105" s="111"/>
      <c r="J105" s="112"/>
    </row>
    <row r="106" spans="1:10" x14ac:dyDescent="0.25">
      <c r="A106" s="111"/>
      <c r="J106" s="112"/>
    </row>
    <row r="107" spans="1:10" x14ac:dyDescent="0.25">
      <c r="A107" s="111"/>
      <c r="J107" s="112"/>
    </row>
    <row r="108" spans="1:10" x14ac:dyDescent="0.25">
      <c r="A108" s="111"/>
      <c r="J108" s="112"/>
    </row>
    <row r="109" spans="1:10" x14ac:dyDescent="0.25">
      <c r="A109" s="111"/>
      <c r="J109" s="112"/>
    </row>
    <row r="110" spans="1:10" x14ac:dyDescent="0.25">
      <c r="A110" s="111"/>
      <c r="J110" s="112"/>
    </row>
    <row r="111" spans="1:10" x14ac:dyDescent="0.25">
      <c r="A111" s="111"/>
      <c r="J111" s="112"/>
    </row>
    <row r="112" spans="1:10" x14ac:dyDescent="0.25">
      <c r="A112" s="111"/>
      <c r="J112" s="112"/>
    </row>
    <row r="113" spans="1:11" ht="13" thickBot="1" x14ac:dyDescent="0.3">
      <c r="A113" s="269"/>
      <c r="B113" s="350"/>
      <c r="C113" s="350"/>
      <c r="D113" s="350"/>
      <c r="E113" s="350"/>
      <c r="F113" s="350"/>
      <c r="G113" s="350"/>
      <c r="H113" s="350"/>
      <c r="I113" s="350"/>
      <c r="J113" s="359"/>
    </row>
    <row r="114" spans="1:11" ht="13" thickBot="1" x14ac:dyDescent="0.3"/>
    <row r="115" spans="1:11" ht="14" x14ac:dyDescent="0.25">
      <c r="A115" s="265"/>
      <c r="B115" s="357"/>
      <c r="C115" s="362" t="str">
        <f>Traduzioni!$G$486</f>
        <v>Calcolo per</v>
      </c>
      <c r="D115" s="363"/>
      <c r="E115" s="1272" t="str">
        <f>Traduzioni!G499</f>
        <v xml:space="preserve">Previdenza per la Vecchiaia </v>
      </c>
      <c r="F115" s="1273"/>
      <c r="G115" s="1273"/>
      <c r="H115" s="1273"/>
      <c r="I115" s="1273"/>
      <c r="J115" s="1274"/>
      <c r="K115" s="354"/>
    </row>
    <row r="116" spans="1:11" ht="14" x14ac:dyDescent="0.25">
      <c r="A116" s="111"/>
      <c r="B116" s="356"/>
      <c r="C116" s="366" t="str">
        <f>'RENDITE CLIENTE'!$A$2</f>
        <v>Calcolo effettuato da:</v>
      </c>
      <c r="D116" s="368"/>
      <c r="E116" s="1275" t="str">
        <f>ANALYSIS!$B$3&amp;" - "&amp;'RENDITE CLIENTE'!$B$2</f>
        <v xml:space="preserve"> - NeoLife AG</v>
      </c>
      <c r="F116" s="1275"/>
      <c r="G116" s="1275"/>
      <c r="H116" s="1275"/>
      <c r="I116" s="1275"/>
      <c r="J116" s="1276"/>
      <c r="K116" s="354"/>
    </row>
    <row r="117" spans="1:11" ht="14" x14ac:dyDescent="0.25">
      <c r="A117" s="111"/>
      <c r="B117" s="356"/>
      <c r="C117" s="366" t="str">
        <f>'RENDITE CLIENTE'!$A$3</f>
        <v>Parametri di calcolo:</v>
      </c>
      <c r="D117" s="368"/>
      <c r="E117" s="1277" t="str">
        <f>'RENDITE CLIENTE'!$B$3&amp;" "&amp;ANALYSIS!$B$19</f>
        <v xml:space="preserve">Scala 44 AVS/AI/IPG + Info fornite da:  </v>
      </c>
      <c r="F117" s="1277"/>
      <c r="G117" s="1277"/>
      <c r="H117" s="1277"/>
      <c r="I117" s="1277"/>
      <c r="J117" s="1278"/>
      <c r="K117" s="354"/>
    </row>
    <row r="118" spans="1:11" ht="14.5" thickBot="1" x14ac:dyDescent="0.3">
      <c r="A118" s="269"/>
      <c r="B118" s="358"/>
      <c r="C118" s="367" t="str">
        <f>'RENDITE CLIENTE'!$A$4</f>
        <v>Calcolo del:</v>
      </c>
      <c r="D118" s="369"/>
      <c r="E118" s="1279">
        <f ca="1">'RENDITE CLIENTE'!$B$4</f>
        <v>45680.292758449075</v>
      </c>
      <c r="F118" s="1279"/>
      <c r="G118" s="1279"/>
      <c r="H118" s="1279"/>
      <c r="I118" s="1279"/>
      <c r="J118" s="1280"/>
      <c r="K118" s="355"/>
    </row>
    <row r="119" spans="1:11" ht="13" thickBot="1" x14ac:dyDescent="0.3"/>
    <row r="120" spans="1:11" ht="22.5" x14ac:dyDescent="0.25">
      <c r="A120" s="1269" t="str">
        <f>Traduzioni!$G$491</f>
        <v>SITUAZIONE SENZA OTTIMIZZAZIONE</v>
      </c>
      <c r="B120" s="1270"/>
      <c r="C120" s="1270"/>
      <c r="D120" s="1270"/>
      <c r="E120" s="1270"/>
      <c r="F120" s="1270"/>
      <c r="G120" s="1270"/>
      <c r="H120" s="1270"/>
      <c r="I120" s="1270"/>
      <c r="J120" s="1271"/>
    </row>
    <row r="121" spans="1:11" x14ac:dyDescent="0.25">
      <c r="A121" s="111"/>
      <c r="J121" s="112"/>
    </row>
    <row r="122" spans="1:11" x14ac:dyDescent="0.25">
      <c r="A122" s="111"/>
      <c r="J122" s="112"/>
    </row>
    <row r="123" spans="1:11" x14ac:dyDescent="0.25">
      <c r="A123" s="111"/>
      <c r="J123" s="112"/>
    </row>
    <row r="124" spans="1:11" x14ac:dyDescent="0.25">
      <c r="A124" s="111"/>
      <c r="J124" s="112"/>
    </row>
    <row r="125" spans="1:11" x14ac:dyDescent="0.25">
      <c r="A125" s="111"/>
      <c r="J125" s="112"/>
    </row>
    <row r="126" spans="1:11" x14ac:dyDescent="0.25">
      <c r="A126" s="111"/>
      <c r="J126" s="112"/>
    </row>
    <row r="127" spans="1:11" x14ac:dyDescent="0.25">
      <c r="A127" s="111"/>
      <c r="J127" s="112"/>
    </row>
    <row r="128" spans="1:11" x14ac:dyDescent="0.25">
      <c r="A128" s="111"/>
      <c r="J128" s="112"/>
    </row>
    <row r="129" spans="1:10" x14ac:dyDescent="0.25">
      <c r="A129" s="111"/>
      <c r="J129" s="112"/>
    </row>
    <row r="130" spans="1:10" x14ac:dyDescent="0.25">
      <c r="A130" s="111"/>
      <c r="J130" s="112"/>
    </row>
    <row r="131" spans="1:10" x14ac:dyDescent="0.25">
      <c r="A131" s="111"/>
      <c r="J131" s="112"/>
    </row>
    <row r="132" spans="1:10" x14ac:dyDescent="0.25">
      <c r="A132" s="111"/>
      <c r="J132" s="112"/>
    </row>
    <row r="133" spans="1:10" x14ac:dyDescent="0.25">
      <c r="A133" s="111"/>
      <c r="J133" s="112"/>
    </row>
    <row r="134" spans="1:10" x14ac:dyDescent="0.25">
      <c r="A134" s="111"/>
      <c r="J134" s="112"/>
    </row>
    <row r="135" spans="1:10" x14ac:dyDescent="0.25">
      <c r="A135" s="111"/>
      <c r="J135" s="112"/>
    </row>
    <row r="136" spans="1:10" x14ac:dyDescent="0.25">
      <c r="A136" s="111"/>
      <c r="J136" s="112"/>
    </row>
    <row r="137" spans="1:10" x14ac:dyDescent="0.25">
      <c r="A137" s="111"/>
      <c r="J137" s="112"/>
    </row>
    <row r="138" spans="1:10" x14ac:dyDescent="0.25">
      <c r="A138" s="111"/>
      <c r="J138" s="112"/>
    </row>
    <row r="139" spans="1:10" x14ac:dyDescent="0.25">
      <c r="A139" s="111"/>
      <c r="J139" s="112"/>
    </row>
    <row r="140" spans="1:10" x14ac:dyDescent="0.25">
      <c r="A140" s="111"/>
      <c r="J140" s="112"/>
    </row>
    <row r="141" spans="1:10" x14ac:dyDescent="0.25">
      <c r="A141" s="111"/>
      <c r="J141" s="112"/>
    </row>
    <row r="142" spans="1:10" x14ac:dyDescent="0.25">
      <c r="A142" s="111"/>
      <c r="J142" s="112"/>
    </row>
    <row r="143" spans="1:10" x14ac:dyDescent="0.25">
      <c r="A143" s="111"/>
      <c r="J143" s="112"/>
    </row>
    <row r="144" spans="1:10" ht="13" thickBot="1" x14ac:dyDescent="0.3">
      <c r="A144" s="269"/>
      <c r="B144" s="350"/>
      <c r="C144" s="350"/>
      <c r="D144" s="350"/>
      <c r="E144" s="350"/>
      <c r="F144" s="350"/>
      <c r="G144" s="350"/>
      <c r="H144" s="350"/>
      <c r="I144" s="350"/>
      <c r="J144" s="359"/>
    </row>
    <row r="145" spans="1:10" ht="13" thickBot="1" x14ac:dyDescent="0.3"/>
    <row r="146" spans="1:10" ht="22.5" x14ac:dyDescent="0.25">
      <c r="A146" s="1269" t="str">
        <f>Traduzioni!$G$492</f>
        <v>SITUAZIONE DOPO OTTIMIZZAZIONE</v>
      </c>
      <c r="B146" s="1270"/>
      <c r="C146" s="1270"/>
      <c r="D146" s="1270"/>
      <c r="E146" s="1270"/>
      <c r="F146" s="1270"/>
      <c r="G146" s="1270"/>
      <c r="H146" s="1270"/>
      <c r="I146" s="1270"/>
      <c r="J146" s="1271"/>
    </row>
    <row r="147" spans="1:10" x14ac:dyDescent="0.25">
      <c r="A147" s="111"/>
      <c r="J147" s="112"/>
    </row>
    <row r="148" spans="1:10" x14ac:dyDescent="0.25">
      <c r="A148" s="111"/>
      <c r="J148" s="112"/>
    </row>
    <row r="149" spans="1:10" x14ac:dyDescent="0.25">
      <c r="A149" s="111"/>
      <c r="J149" s="112"/>
    </row>
    <row r="150" spans="1:10" x14ac:dyDescent="0.25">
      <c r="A150" s="111"/>
      <c r="J150" s="112"/>
    </row>
    <row r="151" spans="1:10" x14ac:dyDescent="0.25">
      <c r="A151" s="111"/>
      <c r="J151" s="112"/>
    </row>
    <row r="152" spans="1:10" x14ac:dyDescent="0.25">
      <c r="A152" s="111"/>
      <c r="J152" s="112"/>
    </row>
    <row r="153" spans="1:10" x14ac:dyDescent="0.25">
      <c r="A153" s="111"/>
      <c r="J153" s="112"/>
    </row>
    <row r="154" spans="1:10" x14ac:dyDescent="0.25">
      <c r="A154" s="111"/>
      <c r="J154" s="112"/>
    </row>
    <row r="155" spans="1:10" x14ac:dyDescent="0.25">
      <c r="A155" s="111"/>
      <c r="J155" s="112"/>
    </row>
    <row r="156" spans="1:10" x14ac:dyDescent="0.25">
      <c r="A156" s="111"/>
      <c r="J156" s="112"/>
    </row>
    <row r="157" spans="1:10" x14ac:dyDescent="0.25">
      <c r="A157" s="111"/>
      <c r="J157" s="112"/>
    </row>
    <row r="158" spans="1:10" x14ac:dyDescent="0.25">
      <c r="A158" s="111"/>
      <c r="J158" s="112"/>
    </row>
    <row r="159" spans="1:10" x14ac:dyDescent="0.25">
      <c r="A159" s="111"/>
      <c r="J159" s="112"/>
    </row>
    <row r="160" spans="1:10" x14ac:dyDescent="0.25">
      <c r="A160" s="111"/>
      <c r="J160" s="112"/>
    </row>
    <row r="161" spans="1:10" x14ac:dyDescent="0.25">
      <c r="A161" s="111"/>
      <c r="J161" s="112"/>
    </row>
    <row r="162" spans="1:10" x14ac:dyDescent="0.25">
      <c r="A162" s="111"/>
      <c r="J162" s="112"/>
    </row>
    <row r="163" spans="1:10" x14ac:dyDescent="0.25">
      <c r="A163" s="111"/>
      <c r="J163" s="112"/>
    </row>
    <row r="164" spans="1:10" x14ac:dyDescent="0.25">
      <c r="A164" s="111"/>
      <c r="J164" s="112"/>
    </row>
    <row r="165" spans="1:10" x14ac:dyDescent="0.25">
      <c r="A165" s="111"/>
      <c r="J165" s="112"/>
    </row>
    <row r="166" spans="1:10" x14ac:dyDescent="0.25">
      <c r="A166" s="111"/>
      <c r="J166" s="112"/>
    </row>
    <row r="167" spans="1:10" x14ac:dyDescent="0.25">
      <c r="A167" s="111"/>
      <c r="J167" s="112"/>
    </row>
    <row r="168" spans="1:10" x14ac:dyDescent="0.25">
      <c r="A168" s="111"/>
      <c r="J168" s="112"/>
    </row>
    <row r="169" spans="1:10" x14ac:dyDescent="0.25">
      <c r="A169" s="111"/>
      <c r="J169" s="112"/>
    </row>
    <row r="170" spans="1:10" ht="13" thickBot="1" x14ac:dyDescent="0.3">
      <c r="A170" s="269"/>
      <c r="B170" s="350"/>
      <c r="C170" s="350"/>
      <c r="D170" s="350"/>
      <c r="E170" s="350"/>
      <c r="F170" s="350"/>
      <c r="G170" s="350"/>
      <c r="H170" s="350"/>
      <c r="I170" s="350"/>
      <c r="J170" s="359"/>
    </row>
  </sheetData>
  <sheetProtection sheet="1" objects="1" scenarios="1"/>
  <mergeCells count="18">
    <mergeCell ref="A146:J146"/>
    <mergeCell ref="E58:J58"/>
    <mergeCell ref="E59:J59"/>
    <mergeCell ref="E60:J60"/>
    <mergeCell ref="E61:J61"/>
    <mergeCell ref="A63:J63"/>
    <mergeCell ref="A89:J89"/>
    <mergeCell ref="E115:J115"/>
    <mergeCell ref="E116:J116"/>
    <mergeCell ref="E117:J117"/>
    <mergeCell ref="E118:J118"/>
    <mergeCell ref="A120:J120"/>
    <mergeCell ref="A32:J32"/>
    <mergeCell ref="E1:J1"/>
    <mergeCell ref="E2:J2"/>
    <mergeCell ref="E3:J3"/>
    <mergeCell ref="E4:J4"/>
    <mergeCell ref="A6:J6"/>
  </mergeCells>
  <pageMargins left="0.7" right="0.7" top="0.75" bottom="0.75" header="0.3" footer="0.3"/>
  <pageSetup paperSize="9" orientation="portrait" r:id="rId1"/>
  <rowBreaks count="3" manualBreakCount="3">
    <brk id="56" max="16383" man="1"/>
    <brk id="113" max="16383" man="1"/>
    <brk id="170"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8F19-C8D8-42FA-B1A7-672B6DB88A33}">
  <dimension ref="A1:O8"/>
  <sheetViews>
    <sheetView workbookViewId="0">
      <selection activeCell="S28" sqref="S28"/>
    </sheetView>
  </sheetViews>
  <sheetFormatPr defaultRowHeight="12.5" x14ac:dyDescent="0.25"/>
  <sheetData>
    <row r="1" spans="1:15" ht="12.5" customHeight="1" x14ac:dyDescent="0.25">
      <c r="A1" s="265"/>
      <c r="B1" s="349"/>
      <c r="C1" s="349"/>
      <c r="D1" s="349"/>
      <c r="E1" s="1263" t="str">
        <f>Traduzioni!$G$486</f>
        <v>Calcolo per</v>
      </c>
      <c r="F1" s="1264"/>
      <c r="G1" s="1264"/>
      <c r="H1" s="1264"/>
      <c r="I1" s="1265" t="str">
        <f>Traduzioni!$G$497</f>
        <v xml:space="preserve">Rendite superstiti dec. x mal. Di </v>
      </c>
      <c r="J1" s="1266"/>
      <c r="K1" s="1266"/>
      <c r="L1" s="1266"/>
      <c r="M1" s="1266"/>
      <c r="N1" s="1266"/>
      <c r="O1" s="1267"/>
    </row>
    <row r="2" spans="1:15" ht="12.5" customHeight="1" x14ac:dyDescent="0.25">
      <c r="A2" s="111"/>
      <c r="E2" s="1256" t="str">
        <f>'RENDITE CLIENTE'!$A$2</f>
        <v>Calcolo effettuato da:</v>
      </c>
      <c r="F2" s="1257"/>
      <c r="G2" s="1257"/>
      <c r="H2" s="1257"/>
      <c r="I2" s="1257" t="str">
        <f>ANALYSIS!$B$3&amp;" - "&amp;'RENDITE CLIENTE'!$B$2</f>
        <v xml:space="preserve"> - NeoLife AG</v>
      </c>
      <c r="J2" s="1257"/>
      <c r="K2" s="1257"/>
      <c r="L2" s="1257"/>
      <c r="M2" s="1257"/>
      <c r="N2" s="1257"/>
      <c r="O2" s="1258"/>
    </row>
    <row r="3" spans="1:15" ht="12.5" customHeight="1" x14ac:dyDescent="0.25">
      <c r="A3" s="111"/>
      <c r="E3" s="1256" t="str">
        <f>'RENDITE CLIENTE'!$A$3</f>
        <v>Parametri di calcolo:</v>
      </c>
      <c r="F3" s="1257"/>
      <c r="G3" s="1257"/>
      <c r="H3" s="1257"/>
      <c r="I3" s="1257" t="str">
        <f>'RENDITE CLIENTE'!$B$3&amp;" "&amp;ANALYSIS!$B$19</f>
        <v xml:space="preserve">Scala 44 AVS/AI/IPG + Info fornite da:  </v>
      </c>
      <c r="J3" s="1257"/>
      <c r="K3" s="1257"/>
      <c r="L3" s="1257"/>
      <c r="M3" s="1257"/>
      <c r="N3" s="1257"/>
      <c r="O3" s="1258"/>
    </row>
    <row r="4" spans="1:15" ht="12.5" customHeight="1" thickBot="1" x14ac:dyDescent="0.3">
      <c r="A4" s="269"/>
      <c r="B4" s="350"/>
      <c r="C4" s="350"/>
      <c r="D4" s="350"/>
      <c r="E4" s="1259" t="str">
        <f>'RENDITE CLIENTE'!$A$4</f>
        <v>Calcolo del:</v>
      </c>
      <c r="F4" s="1260"/>
      <c r="G4" s="1260"/>
      <c r="H4" s="1260"/>
      <c r="I4" s="1261">
        <f ca="1">'RENDITE CLIENTE'!$B$4</f>
        <v>45680.292758449075</v>
      </c>
      <c r="J4" s="1261"/>
      <c r="K4" s="1261"/>
      <c r="L4" s="1261"/>
      <c r="M4" s="1261"/>
      <c r="N4" s="1261"/>
      <c r="O4" s="1262"/>
    </row>
    <row r="5" spans="1:15" ht="12.5" customHeight="1" x14ac:dyDescent="0.25"/>
    <row r="6" spans="1:15" ht="12.5" customHeight="1" x14ac:dyDescent="0.25"/>
    <row r="7" spans="1:15" ht="12.5" customHeight="1" x14ac:dyDescent="0.25"/>
    <row r="8" spans="1:15" ht="12.5" customHeight="1" x14ac:dyDescent="0.25"/>
  </sheetData>
  <mergeCells count="8">
    <mergeCell ref="E4:H4"/>
    <mergeCell ref="I4:O4"/>
    <mergeCell ref="E1:H1"/>
    <mergeCell ref="I1:O1"/>
    <mergeCell ref="E2:H2"/>
    <mergeCell ref="I2:O2"/>
    <mergeCell ref="E3:H3"/>
    <mergeCell ref="I3:O3"/>
  </mergeCells>
  <pageMargins left="0.7" right="0.7" top="0.75" bottom="0.75" header="0.3" footer="0.3"/>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8BD0-C049-4A26-B601-08FD89ADA191}">
  <dimension ref="A1:K56"/>
  <sheetViews>
    <sheetView workbookViewId="0">
      <selection activeCell="L60" sqref="A1:L60"/>
    </sheetView>
  </sheetViews>
  <sheetFormatPr defaultRowHeight="12.5" x14ac:dyDescent="0.25"/>
  <cols>
    <col min="5" max="5" width="9.90625" bestFit="1" customWidth="1"/>
  </cols>
  <sheetData>
    <row r="1" spans="1:11" ht="12.5" customHeight="1" x14ac:dyDescent="0.25">
      <c r="A1" s="265"/>
      <c r="B1" s="357"/>
      <c r="C1" s="362" t="str">
        <f>Traduzioni!$G$486</f>
        <v>Calcolo per</v>
      </c>
      <c r="D1" s="363"/>
      <c r="E1" s="1272" t="str">
        <f>Traduzioni!$G$497</f>
        <v xml:space="preserve">Rendite superstiti dec. x mal. Di </v>
      </c>
      <c r="F1" s="1273"/>
      <c r="G1" s="1273"/>
      <c r="H1" s="1273"/>
      <c r="I1" s="1273"/>
      <c r="J1" s="1274"/>
      <c r="K1" s="354"/>
    </row>
    <row r="2" spans="1:11" ht="12.5" customHeight="1" x14ac:dyDescent="0.25">
      <c r="A2" s="111"/>
      <c r="B2" s="356"/>
      <c r="C2" s="366" t="str">
        <f>'RENDITE CLIENTE'!$A$2</f>
        <v>Calcolo effettuato da:</v>
      </c>
      <c r="D2" s="364"/>
      <c r="E2" s="1281" t="str">
        <f>ANALYSIS!$B$3&amp;" - "&amp;'RENDITE CLIENTE'!$B$2</f>
        <v xml:space="preserve"> - NeoLife AG</v>
      </c>
      <c r="F2" s="1281"/>
      <c r="G2" s="1281"/>
      <c r="H2" s="1281"/>
      <c r="I2" s="1281"/>
      <c r="J2" s="1282"/>
      <c r="K2" s="354"/>
    </row>
    <row r="3" spans="1:11" ht="12.5" customHeight="1" x14ac:dyDescent="0.25">
      <c r="A3" s="111"/>
      <c r="B3" s="356"/>
      <c r="C3" s="366" t="str">
        <f>'RENDITE CLIENTE'!$A$3</f>
        <v>Parametri di calcolo:</v>
      </c>
      <c r="D3" s="364"/>
      <c r="E3" s="1283" t="str">
        <f>'RENDITE CLIENTE'!$B$3&amp;" "&amp;ANALYSIS!$B$19</f>
        <v xml:space="preserve">Scala 44 AVS/AI/IPG + Info fornite da:  </v>
      </c>
      <c r="F3" s="1283"/>
      <c r="G3" s="1283"/>
      <c r="H3" s="1283"/>
      <c r="I3" s="1283"/>
      <c r="J3" s="1284"/>
      <c r="K3" s="354"/>
    </row>
    <row r="4" spans="1:11" ht="12.5" customHeight="1" thickBot="1" x14ac:dyDescent="0.3">
      <c r="A4" s="269"/>
      <c r="B4" s="358"/>
      <c r="C4" s="367" t="str">
        <f>'RENDITE CLIENTE'!$A$4</f>
        <v>Calcolo del:</v>
      </c>
      <c r="D4" s="365"/>
      <c r="E4" s="1285">
        <f ca="1">'RENDITE CLIENTE'!$B$4</f>
        <v>45680.292758449075</v>
      </c>
      <c r="F4" s="1285"/>
      <c r="G4" s="1285"/>
      <c r="H4" s="1285"/>
      <c r="I4" s="1285"/>
      <c r="J4" s="1286"/>
      <c r="K4" s="355"/>
    </row>
    <row r="5" spans="1:11" ht="12.5" customHeight="1" thickBot="1" x14ac:dyDescent="0.3"/>
    <row r="6" spans="1:11" ht="25.5" customHeight="1" x14ac:dyDescent="0.25">
      <c r="A6" s="1269" t="str">
        <f>Traduzioni!$G$491</f>
        <v>SITUAZIONE SENZA OTTIMIZZAZIONE</v>
      </c>
      <c r="B6" s="1270"/>
      <c r="C6" s="1270"/>
      <c r="D6" s="1270"/>
      <c r="E6" s="1270"/>
      <c r="F6" s="1270"/>
      <c r="G6" s="1270"/>
      <c r="H6" s="1270"/>
      <c r="I6" s="1270"/>
      <c r="J6" s="1271"/>
    </row>
    <row r="7" spans="1:11" ht="12.5" customHeight="1" x14ac:dyDescent="0.25">
      <c r="A7" s="111"/>
      <c r="J7" s="112"/>
    </row>
    <row r="8" spans="1:11" ht="12.5" customHeight="1" x14ac:dyDescent="0.25">
      <c r="A8" s="111"/>
      <c r="J8" s="112"/>
    </row>
    <row r="9" spans="1:11" x14ac:dyDescent="0.25">
      <c r="A9" s="111"/>
      <c r="J9" s="112"/>
    </row>
    <row r="10" spans="1:11" x14ac:dyDescent="0.25">
      <c r="A10" s="111"/>
      <c r="J10" s="112"/>
    </row>
    <row r="11" spans="1:11" x14ac:dyDescent="0.25">
      <c r="A11" s="111"/>
      <c r="J11" s="112"/>
    </row>
    <row r="12" spans="1:11" x14ac:dyDescent="0.25">
      <c r="A12" s="111"/>
      <c r="J12" s="112"/>
    </row>
    <row r="13" spans="1:11" x14ac:dyDescent="0.25">
      <c r="A13" s="111"/>
      <c r="J13" s="112"/>
    </row>
    <row r="14" spans="1:11" x14ac:dyDescent="0.25">
      <c r="A14" s="111"/>
      <c r="J14" s="112"/>
    </row>
    <row r="15" spans="1:11" x14ac:dyDescent="0.25">
      <c r="A15" s="111"/>
      <c r="J15" s="112"/>
    </row>
    <row r="16" spans="1:11" x14ac:dyDescent="0.25">
      <c r="A16" s="111"/>
      <c r="J16" s="112"/>
    </row>
    <row r="17" spans="1:10" x14ac:dyDescent="0.25">
      <c r="A17" s="111"/>
      <c r="J17" s="112"/>
    </row>
    <row r="18" spans="1:10" x14ac:dyDescent="0.25">
      <c r="A18" s="111"/>
      <c r="J18" s="112"/>
    </row>
    <row r="19" spans="1:10" x14ac:dyDescent="0.25">
      <c r="A19" s="111"/>
      <c r="J19" s="112"/>
    </row>
    <row r="20" spans="1:10" x14ac:dyDescent="0.25">
      <c r="A20" s="111"/>
      <c r="J20" s="112"/>
    </row>
    <row r="21" spans="1:10" x14ac:dyDescent="0.25">
      <c r="A21" s="111"/>
      <c r="J21" s="112"/>
    </row>
    <row r="22" spans="1:10" x14ac:dyDescent="0.25">
      <c r="A22" s="111"/>
      <c r="J22" s="112"/>
    </row>
    <row r="23" spans="1:10" x14ac:dyDescent="0.25">
      <c r="A23" s="111"/>
      <c r="J23" s="112"/>
    </row>
    <row r="24" spans="1:10" x14ac:dyDescent="0.25">
      <c r="A24" s="111"/>
      <c r="J24" s="112"/>
    </row>
    <row r="25" spans="1:10" x14ac:dyDescent="0.25">
      <c r="A25" s="111"/>
      <c r="J25" s="112"/>
    </row>
    <row r="26" spans="1:10" x14ac:dyDescent="0.25">
      <c r="A26" s="111"/>
      <c r="J26" s="112"/>
    </row>
    <row r="27" spans="1:10" x14ac:dyDescent="0.25">
      <c r="A27" s="111"/>
      <c r="J27" s="112"/>
    </row>
    <row r="28" spans="1:10" x14ac:dyDescent="0.25">
      <c r="A28" s="111"/>
      <c r="J28" s="112"/>
    </row>
    <row r="29" spans="1:10" x14ac:dyDescent="0.25">
      <c r="A29" s="111"/>
      <c r="J29" s="112"/>
    </row>
    <row r="30" spans="1:10" ht="13" thickBot="1" x14ac:dyDescent="0.3">
      <c r="A30" s="269"/>
      <c r="B30" s="350"/>
      <c r="C30" s="350"/>
      <c r="D30" s="350"/>
      <c r="E30" s="350"/>
      <c r="F30" s="350"/>
      <c r="G30" s="350"/>
      <c r="H30" s="350"/>
      <c r="I30" s="350"/>
      <c r="J30" s="359"/>
    </row>
    <row r="31" spans="1:10" ht="13" thickBot="1" x14ac:dyDescent="0.3"/>
    <row r="32" spans="1:10" ht="22.5" x14ac:dyDescent="0.25">
      <c r="A32" s="1269" t="str">
        <f>Traduzioni!$G$492</f>
        <v>SITUAZIONE DOPO OTTIMIZZAZIONE</v>
      </c>
      <c r="B32" s="1270"/>
      <c r="C32" s="1270"/>
      <c r="D32" s="1270"/>
      <c r="E32" s="1270"/>
      <c r="F32" s="1270"/>
      <c r="G32" s="1270"/>
      <c r="H32" s="1270"/>
      <c r="I32" s="1270"/>
      <c r="J32" s="1271"/>
    </row>
    <row r="33" spans="1:10" x14ac:dyDescent="0.25">
      <c r="A33" s="111"/>
      <c r="J33" s="112"/>
    </row>
    <row r="34" spans="1:10" x14ac:dyDescent="0.25">
      <c r="A34" s="111"/>
      <c r="J34" s="112"/>
    </row>
    <row r="35" spans="1:10" x14ac:dyDescent="0.25">
      <c r="A35" s="111"/>
      <c r="J35" s="112"/>
    </row>
    <row r="36" spans="1:10" x14ac:dyDescent="0.25">
      <c r="A36" s="111"/>
      <c r="J36" s="112"/>
    </row>
    <row r="37" spans="1:10" x14ac:dyDescent="0.25">
      <c r="A37" s="111"/>
      <c r="J37" s="112"/>
    </row>
    <row r="38" spans="1:10" x14ac:dyDescent="0.25">
      <c r="A38" s="111"/>
      <c r="J38" s="112"/>
    </row>
    <row r="39" spans="1:10" x14ac:dyDescent="0.25">
      <c r="A39" s="111"/>
      <c r="J39" s="112"/>
    </row>
    <row r="40" spans="1:10" x14ac:dyDescent="0.25">
      <c r="A40" s="111"/>
      <c r="J40" s="112"/>
    </row>
    <row r="41" spans="1:10" x14ac:dyDescent="0.25">
      <c r="A41" s="111"/>
      <c r="J41" s="112"/>
    </row>
    <row r="42" spans="1:10" x14ac:dyDescent="0.25">
      <c r="A42" s="111"/>
      <c r="J42" s="112"/>
    </row>
    <row r="43" spans="1:10" x14ac:dyDescent="0.25">
      <c r="A43" s="111"/>
      <c r="J43" s="112"/>
    </row>
    <row r="44" spans="1:10" x14ac:dyDescent="0.25">
      <c r="A44" s="111"/>
      <c r="J44" s="112"/>
    </row>
    <row r="45" spans="1:10" x14ac:dyDescent="0.25">
      <c r="A45" s="111"/>
      <c r="J45" s="112"/>
    </row>
    <row r="46" spans="1:10" x14ac:dyDescent="0.25">
      <c r="A46" s="111"/>
      <c r="J46" s="112"/>
    </row>
    <row r="47" spans="1:10" x14ac:dyDescent="0.25">
      <c r="A47" s="111"/>
      <c r="J47" s="112"/>
    </row>
    <row r="48" spans="1:10" x14ac:dyDescent="0.25">
      <c r="A48" s="111"/>
      <c r="J48" s="112"/>
    </row>
    <row r="49" spans="1:10" x14ac:dyDescent="0.25">
      <c r="A49" s="111"/>
      <c r="J49" s="112"/>
    </row>
    <row r="50" spans="1:10" x14ac:dyDescent="0.25">
      <c r="A50" s="111"/>
      <c r="J50" s="112"/>
    </row>
    <row r="51" spans="1:10" x14ac:dyDescent="0.25">
      <c r="A51" s="111"/>
      <c r="J51" s="112"/>
    </row>
    <row r="52" spans="1:10" x14ac:dyDescent="0.25">
      <c r="A52" s="111"/>
      <c r="J52" s="112"/>
    </row>
    <row r="53" spans="1:10" x14ac:dyDescent="0.25">
      <c r="A53" s="111"/>
      <c r="J53" s="112"/>
    </row>
    <row r="54" spans="1:10" x14ac:dyDescent="0.25">
      <c r="A54" s="111"/>
      <c r="J54" s="112"/>
    </row>
    <row r="55" spans="1:10" x14ac:dyDescent="0.25">
      <c r="A55" s="111"/>
      <c r="J55" s="112"/>
    </row>
    <row r="56" spans="1:10" ht="13" thickBot="1" x14ac:dyDescent="0.3">
      <c r="A56" s="269"/>
      <c r="B56" s="350"/>
      <c r="C56" s="350"/>
      <c r="D56" s="350"/>
      <c r="E56" s="350"/>
      <c r="F56" s="350"/>
      <c r="G56" s="350"/>
      <c r="H56" s="350"/>
      <c r="I56" s="350"/>
      <c r="J56" s="359"/>
    </row>
  </sheetData>
  <mergeCells count="6">
    <mergeCell ref="A6:J6"/>
    <mergeCell ref="A32:J32"/>
    <mergeCell ref="E1:J1"/>
    <mergeCell ref="E2:J2"/>
    <mergeCell ref="E3:J3"/>
    <mergeCell ref="E4:J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A01EA-BB95-4E45-9400-129C21F169E7}">
  <dimension ref="A1:O8"/>
  <sheetViews>
    <sheetView workbookViewId="0">
      <selection activeCell="R40" sqref="R40"/>
    </sheetView>
  </sheetViews>
  <sheetFormatPr defaultRowHeight="12.5" x14ac:dyDescent="0.25"/>
  <sheetData>
    <row r="1" spans="1:15" ht="12.5" customHeight="1" x14ac:dyDescent="0.25">
      <c r="A1" s="265"/>
      <c r="B1" s="349"/>
      <c r="C1" s="349"/>
      <c r="D1" s="349"/>
      <c r="E1" s="1263" t="str">
        <f>Traduzioni!$G$486</f>
        <v>Calcolo per</v>
      </c>
      <c r="F1" s="1264"/>
      <c r="G1" s="1264"/>
      <c r="H1" s="1264"/>
      <c r="I1" s="1265" t="str">
        <f>Traduzioni!$G$498</f>
        <v xml:space="preserve">Previdenza per la Vecchiaia </v>
      </c>
      <c r="J1" s="1266"/>
      <c r="K1" s="1266"/>
      <c r="L1" s="1266"/>
      <c r="M1" s="1266"/>
      <c r="N1" s="1266"/>
      <c r="O1" s="1267"/>
    </row>
    <row r="2" spans="1:15" ht="12.5" customHeight="1" x14ac:dyDescent="0.25">
      <c r="A2" s="111"/>
      <c r="E2" s="1256" t="str">
        <f>'RENDITE CLIENTE'!$A$2</f>
        <v>Calcolo effettuato da:</v>
      </c>
      <c r="F2" s="1257"/>
      <c r="G2" s="1257"/>
      <c r="H2" s="1257"/>
      <c r="I2" s="1257" t="str">
        <f>ANALYSIS!$B$3&amp;" - "&amp;'RENDITE CLIENTE'!$B$2</f>
        <v xml:space="preserve"> - NeoLife AG</v>
      </c>
      <c r="J2" s="1257"/>
      <c r="K2" s="1257"/>
      <c r="L2" s="1257"/>
      <c r="M2" s="1257"/>
      <c r="N2" s="1257"/>
      <c r="O2" s="1258"/>
    </row>
    <row r="3" spans="1:15" ht="12.5" customHeight="1" x14ac:dyDescent="0.25">
      <c r="A3" s="111"/>
      <c r="E3" s="1256" t="str">
        <f>'RENDITE CLIENTE'!$A$3</f>
        <v>Parametri di calcolo:</v>
      </c>
      <c r="F3" s="1257"/>
      <c r="G3" s="1257"/>
      <c r="H3" s="1257"/>
      <c r="I3" s="1257" t="str">
        <f>'RENDITE CLIENTE'!$B$3&amp;" "&amp;ANALYSIS!$B$19</f>
        <v xml:space="preserve">Scala 44 AVS/AI/IPG + Info fornite da:  </v>
      </c>
      <c r="J3" s="1257"/>
      <c r="K3" s="1257"/>
      <c r="L3" s="1257"/>
      <c r="M3" s="1257"/>
      <c r="N3" s="1257"/>
      <c r="O3" s="1258"/>
    </row>
    <row r="4" spans="1:15" ht="12.5" customHeight="1" thickBot="1" x14ac:dyDescent="0.3">
      <c r="A4" s="269"/>
      <c r="B4" s="350"/>
      <c r="C4" s="350"/>
      <c r="D4" s="350"/>
      <c r="E4" s="1259" t="str">
        <f>'RENDITE CLIENTE'!$A$4</f>
        <v>Calcolo del:</v>
      </c>
      <c r="F4" s="1260"/>
      <c r="G4" s="1260"/>
      <c r="H4" s="1260"/>
      <c r="I4" s="1261">
        <f ca="1">'RENDITE CLIENTE'!$B$4</f>
        <v>45680.292758449075</v>
      </c>
      <c r="J4" s="1261"/>
      <c r="K4" s="1261"/>
      <c r="L4" s="1261"/>
      <c r="M4" s="1261"/>
      <c r="N4" s="1261"/>
      <c r="O4" s="1262"/>
    </row>
    <row r="5" spans="1:15" ht="12.5" customHeight="1" x14ac:dyDescent="0.25"/>
    <row r="6" spans="1:15" ht="12.5" customHeight="1" x14ac:dyDescent="0.25"/>
    <row r="7" spans="1:15" ht="12.5" customHeight="1" x14ac:dyDescent="0.25"/>
    <row r="8" spans="1:15" ht="12.5" customHeight="1" x14ac:dyDescent="0.25"/>
  </sheetData>
  <mergeCells count="8">
    <mergeCell ref="E4:H4"/>
    <mergeCell ref="I4:O4"/>
    <mergeCell ref="E1:H1"/>
    <mergeCell ref="I1:O1"/>
    <mergeCell ref="E2:H2"/>
    <mergeCell ref="I2:O2"/>
    <mergeCell ref="E3:H3"/>
    <mergeCell ref="I3:O3"/>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5B92-3BA0-4E7E-807C-323EDE10ADBC}">
  <sheetPr codeName="Foglio3"/>
  <dimension ref="A1:E59"/>
  <sheetViews>
    <sheetView zoomScale="120" zoomScaleNormal="120" workbookViewId="0">
      <selection activeCell="B16" sqref="B16"/>
    </sheetView>
  </sheetViews>
  <sheetFormatPr defaultColWidth="11.453125" defaultRowHeight="12.5" x14ac:dyDescent="0.25"/>
  <cols>
    <col min="1" max="1" width="23.453125" customWidth="1"/>
    <col min="2" max="2" width="15.81640625" customWidth="1"/>
    <col min="3" max="5" width="11.453125" style="6"/>
  </cols>
  <sheetData>
    <row r="1" spans="1:2" x14ac:dyDescent="0.25">
      <c r="A1" t="s">
        <v>2789</v>
      </c>
      <c r="B1">
        <f>'Parametri generali'!B30</f>
        <v>22680</v>
      </c>
    </row>
    <row r="2" spans="1:2" x14ac:dyDescent="0.25">
      <c r="A2" t="s">
        <v>2790</v>
      </c>
      <c r="B2">
        <f>'Parametri generali'!B31</f>
        <v>26460</v>
      </c>
    </row>
    <row r="3" spans="1:2" x14ac:dyDescent="0.25">
      <c r="A3" t="s">
        <v>2792</v>
      </c>
      <c r="B3" s="6">
        <f>'Parametri generali'!B33</f>
        <v>3780</v>
      </c>
    </row>
    <row r="4" spans="1:2" x14ac:dyDescent="0.25">
      <c r="A4" t="s">
        <v>2791</v>
      </c>
      <c r="B4" s="6">
        <f>'Parametri generali'!B35</f>
        <v>64260</v>
      </c>
    </row>
    <row r="5" spans="1:2" x14ac:dyDescent="0.25">
      <c r="A5" t="s">
        <v>6</v>
      </c>
      <c r="B5" s="6">
        <f>'Parametri generali'!B34</f>
        <v>90720</v>
      </c>
    </row>
    <row r="6" spans="1:2" x14ac:dyDescent="0.25">
      <c r="A6" t="s">
        <v>7</v>
      </c>
      <c r="B6" s="7">
        <v>1.2500000000000001E-2</v>
      </c>
    </row>
    <row r="7" spans="1:2" x14ac:dyDescent="0.25">
      <c r="A7" t="s">
        <v>8</v>
      </c>
      <c r="B7" s="7">
        <f>'Parametri generali'!B32</f>
        <v>6.8000000000000005E-2</v>
      </c>
    </row>
    <row r="8" spans="1:2" x14ac:dyDescent="0.25">
      <c r="A8" t="s">
        <v>9</v>
      </c>
      <c r="B8" s="7">
        <v>7.0000000000000007E-2</v>
      </c>
    </row>
    <row r="9" spans="1:2" x14ac:dyDescent="0.25">
      <c r="A9" t="s">
        <v>10</v>
      </c>
      <c r="B9" s="7">
        <v>0.1</v>
      </c>
    </row>
    <row r="10" spans="1:2" x14ac:dyDescent="0.25">
      <c r="A10" t="s">
        <v>11</v>
      </c>
      <c r="B10" s="7">
        <v>0.15</v>
      </c>
    </row>
    <row r="11" spans="1:2" x14ac:dyDescent="0.25">
      <c r="A11" t="s">
        <v>12</v>
      </c>
      <c r="B11" s="7">
        <v>0.18</v>
      </c>
    </row>
    <row r="14" spans="1:2" x14ac:dyDescent="0.25">
      <c r="A14" t="s">
        <v>14</v>
      </c>
      <c r="B14" s="9">
        <f>'PRIV-VALID.'!B14</f>
        <v>0</v>
      </c>
    </row>
    <row r="15" spans="1:2" x14ac:dyDescent="0.25">
      <c r="A15" t="s">
        <v>15</v>
      </c>
      <c r="B15" s="9">
        <f>IF(B14&gt;B5,B5,B14)</f>
        <v>0</v>
      </c>
    </row>
    <row r="16" spans="1:2" x14ac:dyDescent="0.25">
      <c r="A16" t="s">
        <v>16</v>
      </c>
      <c r="B16">
        <f>IF((B15)&lt;B1,0,IF((B15-B2)&gt;B3,B15-B2,B3))</f>
        <v>0</v>
      </c>
    </row>
    <row r="18" spans="1:4" x14ac:dyDescent="0.25">
      <c r="A18" t="s">
        <v>17</v>
      </c>
    </row>
    <row r="19" spans="1:4" x14ac:dyDescent="0.25">
      <c r="A19">
        <v>25</v>
      </c>
      <c r="B19" s="7">
        <f>B8</f>
        <v>7.0000000000000007E-2</v>
      </c>
      <c r="C19" s="6">
        <f t="shared" ref="C19:C59" si="0">$B$16*B19</f>
        <v>0</v>
      </c>
      <c r="D19" s="6">
        <f>C19+(C19*B6)</f>
        <v>0</v>
      </c>
    </row>
    <row r="20" spans="1:4" x14ac:dyDescent="0.25">
      <c r="A20">
        <v>26</v>
      </c>
      <c r="B20" s="7">
        <f t="shared" ref="B20:B28" si="1">B19</f>
        <v>7.0000000000000007E-2</v>
      </c>
      <c r="C20" s="6">
        <f t="shared" si="0"/>
        <v>0</v>
      </c>
      <c r="D20" s="6">
        <f t="shared" ref="D20:D59" si="2">D19+C20+(D19*$B$6)</f>
        <v>0</v>
      </c>
    </row>
    <row r="21" spans="1:4" x14ac:dyDescent="0.25">
      <c r="A21">
        <v>27</v>
      </c>
      <c r="B21" s="7">
        <f t="shared" si="1"/>
        <v>7.0000000000000007E-2</v>
      </c>
      <c r="C21" s="6">
        <f t="shared" si="0"/>
        <v>0</v>
      </c>
      <c r="D21" s="6">
        <f t="shared" si="2"/>
        <v>0</v>
      </c>
    </row>
    <row r="22" spans="1:4" x14ac:dyDescent="0.25">
      <c r="A22">
        <v>28</v>
      </c>
      <c r="B22" s="7">
        <f t="shared" si="1"/>
        <v>7.0000000000000007E-2</v>
      </c>
      <c r="C22" s="6">
        <f t="shared" si="0"/>
        <v>0</v>
      </c>
      <c r="D22" s="6">
        <f t="shared" si="2"/>
        <v>0</v>
      </c>
    </row>
    <row r="23" spans="1:4" x14ac:dyDescent="0.25">
      <c r="A23">
        <v>29</v>
      </c>
      <c r="B23" s="7">
        <f t="shared" si="1"/>
        <v>7.0000000000000007E-2</v>
      </c>
      <c r="C23" s="6">
        <f t="shared" si="0"/>
        <v>0</v>
      </c>
      <c r="D23" s="6">
        <f t="shared" si="2"/>
        <v>0</v>
      </c>
    </row>
    <row r="24" spans="1:4" x14ac:dyDescent="0.25">
      <c r="A24">
        <v>30</v>
      </c>
      <c r="B24" s="7">
        <f t="shared" si="1"/>
        <v>7.0000000000000007E-2</v>
      </c>
      <c r="C24" s="6">
        <f t="shared" si="0"/>
        <v>0</v>
      </c>
      <c r="D24" s="6">
        <f t="shared" si="2"/>
        <v>0</v>
      </c>
    </row>
    <row r="25" spans="1:4" x14ac:dyDescent="0.25">
      <c r="A25">
        <v>31</v>
      </c>
      <c r="B25" s="7">
        <f t="shared" si="1"/>
        <v>7.0000000000000007E-2</v>
      </c>
      <c r="C25" s="6">
        <f t="shared" si="0"/>
        <v>0</v>
      </c>
      <c r="D25" s="6">
        <f t="shared" si="2"/>
        <v>0</v>
      </c>
    </row>
    <row r="26" spans="1:4" x14ac:dyDescent="0.25">
      <c r="A26">
        <v>32</v>
      </c>
      <c r="B26" s="7">
        <f t="shared" si="1"/>
        <v>7.0000000000000007E-2</v>
      </c>
      <c r="C26" s="6">
        <f t="shared" si="0"/>
        <v>0</v>
      </c>
      <c r="D26" s="6">
        <f t="shared" si="2"/>
        <v>0</v>
      </c>
    </row>
    <row r="27" spans="1:4" x14ac:dyDescent="0.25">
      <c r="A27">
        <v>33</v>
      </c>
      <c r="B27" s="7">
        <f t="shared" si="1"/>
        <v>7.0000000000000007E-2</v>
      </c>
      <c r="C27" s="6">
        <f t="shared" si="0"/>
        <v>0</v>
      </c>
      <c r="D27" s="6">
        <f t="shared" si="2"/>
        <v>0</v>
      </c>
    </row>
    <row r="28" spans="1:4" x14ac:dyDescent="0.25">
      <c r="A28">
        <v>34</v>
      </c>
      <c r="B28" s="7">
        <f t="shared" si="1"/>
        <v>7.0000000000000007E-2</v>
      </c>
      <c r="C28" s="6">
        <f t="shared" si="0"/>
        <v>0</v>
      </c>
      <c r="D28" s="6">
        <f t="shared" si="2"/>
        <v>0</v>
      </c>
    </row>
    <row r="29" spans="1:4" x14ac:dyDescent="0.25">
      <c r="A29">
        <v>35</v>
      </c>
      <c r="B29" s="7">
        <f>B9</f>
        <v>0.1</v>
      </c>
      <c r="C29" s="6">
        <f t="shared" si="0"/>
        <v>0</v>
      </c>
      <c r="D29" s="6">
        <f t="shared" si="2"/>
        <v>0</v>
      </c>
    </row>
    <row r="30" spans="1:4" x14ac:dyDescent="0.25">
      <c r="A30">
        <v>36</v>
      </c>
      <c r="B30" s="7">
        <f t="shared" ref="B30:B38" si="3">B29</f>
        <v>0.1</v>
      </c>
      <c r="C30" s="6">
        <f t="shared" si="0"/>
        <v>0</v>
      </c>
      <c r="D30" s="6">
        <f t="shared" si="2"/>
        <v>0</v>
      </c>
    </row>
    <row r="31" spans="1:4" x14ac:dyDescent="0.25">
      <c r="A31">
        <v>37</v>
      </c>
      <c r="B31" s="7">
        <f t="shared" si="3"/>
        <v>0.1</v>
      </c>
      <c r="C31" s="6">
        <f t="shared" si="0"/>
        <v>0</v>
      </c>
      <c r="D31" s="6">
        <f t="shared" si="2"/>
        <v>0</v>
      </c>
    </row>
    <row r="32" spans="1:4" x14ac:dyDescent="0.25">
      <c r="A32">
        <v>38</v>
      </c>
      <c r="B32" s="7">
        <f t="shared" si="3"/>
        <v>0.1</v>
      </c>
      <c r="C32" s="6">
        <f t="shared" si="0"/>
        <v>0</v>
      </c>
      <c r="D32" s="6">
        <f t="shared" si="2"/>
        <v>0</v>
      </c>
    </row>
    <row r="33" spans="1:4" x14ac:dyDescent="0.25">
      <c r="A33">
        <v>39</v>
      </c>
      <c r="B33" s="7">
        <f t="shared" si="3"/>
        <v>0.1</v>
      </c>
      <c r="C33" s="6">
        <f t="shared" si="0"/>
        <v>0</v>
      </c>
      <c r="D33" s="6">
        <f t="shared" si="2"/>
        <v>0</v>
      </c>
    </row>
    <row r="34" spans="1:4" x14ac:dyDescent="0.25">
      <c r="A34">
        <v>40</v>
      </c>
      <c r="B34" s="7">
        <f t="shared" si="3"/>
        <v>0.1</v>
      </c>
      <c r="C34" s="6">
        <f t="shared" si="0"/>
        <v>0</v>
      </c>
      <c r="D34" s="6">
        <f t="shared" si="2"/>
        <v>0</v>
      </c>
    </row>
    <row r="35" spans="1:4" x14ac:dyDescent="0.25">
      <c r="A35">
        <v>41</v>
      </c>
      <c r="B35" s="7">
        <f t="shared" si="3"/>
        <v>0.1</v>
      </c>
      <c r="C35" s="6">
        <f t="shared" si="0"/>
        <v>0</v>
      </c>
      <c r="D35" s="6">
        <f t="shared" si="2"/>
        <v>0</v>
      </c>
    </row>
    <row r="36" spans="1:4" x14ac:dyDescent="0.25">
      <c r="A36">
        <v>42</v>
      </c>
      <c r="B36" s="7">
        <f t="shared" si="3"/>
        <v>0.1</v>
      </c>
      <c r="C36" s="6">
        <f t="shared" si="0"/>
        <v>0</v>
      </c>
      <c r="D36" s="6">
        <f t="shared" si="2"/>
        <v>0</v>
      </c>
    </row>
    <row r="37" spans="1:4" x14ac:dyDescent="0.25">
      <c r="A37">
        <v>43</v>
      </c>
      <c r="B37" s="7">
        <f t="shared" si="3"/>
        <v>0.1</v>
      </c>
      <c r="C37" s="6">
        <f t="shared" si="0"/>
        <v>0</v>
      </c>
      <c r="D37" s="6">
        <f t="shared" si="2"/>
        <v>0</v>
      </c>
    </row>
    <row r="38" spans="1:4" x14ac:dyDescent="0.25">
      <c r="A38">
        <v>44</v>
      </c>
      <c r="B38" s="7">
        <f t="shared" si="3"/>
        <v>0.1</v>
      </c>
      <c r="C38" s="6">
        <f t="shared" si="0"/>
        <v>0</v>
      </c>
      <c r="D38" s="6">
        <f t="shared" si="2"/>
        <v>0</v>
      </c>
    </row>
    <row r="39" spans="1:4" x14ac:dyDescent="0.25">
      <c r="A39">
        <v>45</v>
      </c>
      <c r="B39" s="7">
        <f>B10</f>
        <v>0.15</v>
      </c>
      <c r="C39" s="6">
        <f t="shared" si="0"/>
        <v>0</v>
      </c>
      <c r="D39" s="6">
        <f t="shared" si="2"/>
        <v>0</v>
      </c>
    </row>
    <row r="40" spans="1:4" x14ac:dyDescent="0.25">
      <c r="A40">
        <v>46</v>
      </c>
      <c r="B40" s="7">
        <f t="shared" ref="B40:B48" si="4">B39</f>
        <v>0.15</v>
      </c>
      <c r="C40" s="6">
        <f t="shared" si="0"/>
        <v>0</v>
      </c>
      <c r="D40" s="6">
        <f t="shared" si="2"/>
        <v>0</v>
      </c>
    </row>
    <row r="41" spans="1:4" x14ac:dyDescent="0.25">
      <c r="A41">
        <v>47</v>
      </c>
      <c r="B41" s="7">
        <f t="shared" si="4"/>
        <v>0.15</v>
      </c>
      <c r="C41" s="6">
        <f t="shared" si="0"/>
        <v>0</v>
      </c>
      <c r="D41" s="6">
        <f t="shared" si="2"/>
        <v>0</v>
      </c>
    </row>
    <row r="42" spans="1:4" x14ac:dyDescent="0.25">
      <c r="A42">
        <v>48</v>
      </c>
      <c r="B42" s="7">
        <f t="shared" si="4"/>
        <v>0.15</v>
      </c>
      <c r="C42" s="6">
        <f t="shared" si="0"/>
        <v>0</v>
      </c>
      <c r="D42" s="6">
        <f t="shared" si="2"/>
        <v>0</v>
      </c>
    </row>
    <row r="43" spans="1:4" x14ac:dyDescent="0.25">
      <c r="A43">
        <v>49</v>
      </c>
      <c r="B43" s="7">
        <f t="shared" si="4"/>
        <v>0.15</v>
      </c>
      <c r="C43" s="6">
        <f t="shared" si="0"/>
        <v>0</v>
      </c>
      <c r="D43" s="6">
        <f t="shared" si="2"/>
        <v>0</v>
      </c>
    </row>
    <row r="44" spans="1:4" x14ac:dyDescent="0.25">
      <c r="A44">
        <v>50</v>
      </c>
      <c r="B44" s="7">
        <f t="shared" si="4"/>
        <v>0.15</v>
      </c>
      <c r="C44" s="6">
        <f t="shared" si="0"/>
        <v>0</v>
      </c>
      <c r="D44" s="6">
        <f t="shared" si="2"/>
        <v>0</v>
      </c>
    </row>
    <row r="45" spans="1:4" x14ac:dyDescent="0.25">
      <c r="A45">
        <v>51</v>
      </c>
      <c r="B45" s="7">
        <f t="shared" si="4"/>
        <v>0.15</v>
      </c>
      <c r="C45" s="6">
        <f t="shared" si="0"/>
        <v>0</v>
      </c>
      <c r="D45" s="6">
        <f t="shared" si="2"/>
        <v>0</v>
      </c>
    </row>
    <row r="46" spans="1:4" x14ac:dyDescent="0.25">
      <c r="A46">
        <v>52</v>
      </c>
      <c r="B46" s="7">
        <f t="shared" si="4"/>
        <v>0.15</v>
      </c>
      <c r="C46" s="6">
        <f t="shared" si="0"/>
        <v>0</v>
      </c>
      <c r="D46" s="6">
        <f t="shared" si="2"/>
        <v>0</v>
      </c>
    </row>
    <row r="47" spans="1:4" x14ac:dyDescent="0.25">
      <c r="A47">
        <v>53</v>
      </c>
      <c r="B47" s="7">
        <f t="shared" si="4"/>
        <v>0.15</v>
      </c>
      <c r="C47" s="6">
        <f t="shared" si="0"/>
        <v>0</v>
      </c>
      <c r="D47" s="6">
        <f t="shared" si="2"/>
        <v>0</v>
      </c>
    </row>
    <row r="48" spans="1:4" x14ac:dyDescent="0.25">
      <c r="A48">
        <v>54</v>
      </c>
      <c r="B48" s="7">
        <f t="shared" si="4"/>
        <v>0.15</v>
      </c>
      <c r="C48" s="6">
        <f t="shared" si="0"/>
        <v>0</v>
      </c>
      <c r="D48" s="6">
        <f t="shared" si="2"/>
        <v>0</v>
      </c>
    </row>
    <row r="49" spans="1:5" x14ac:dyDescent="0.25">
      <c r="A49">
        <v>55</v>
      </c>
      <c r="B49" s="7">
        <f>B11</f>
        <v>0.18</v>
      </c>
      <c r="C49" s="6">
        <f t="shared" si="0"/>
        <v>0</v>
      </c>
      <c r="D49" s="6">
        <f t="shared" si="2"/>
        <v>0</v>
      </c>
    </row>
    <row r="50" spans="1:5" x14ac:dyDescent="0.25">
      <c r="A50">
        <v>56</v>
      </c>
      <c r="B50" s="7">
        <f t="shared" ref="B50:B59" si="5">B49</f>
        <v>0.18</v>
      </c>
      <c r="C50" s="6">
        <f t="shared" si="0"/>
        <v>0</v>
      </c>
      <c r="D50" s="6">
        <f t="shared" si="2"/>
        <v>0</v>
      </c>
    </row>
    <row r="51" spans="1:5" x14ac:dyDescent="0.25">
      <c r="A51">
        <v>57</v>
      </c>
      <c r="B51" s="7">
        <f t="shared" si="5"/>
        <v>0.18</v>
      </c>
      <c r="C51" s="6">
        <f t="shared" si="0"/>
        <v>0</v>
      </c>
      <c r="D51" s="6">
        <f t="shared" si="2"/>
        <v>0</v>
      </c>
    </row>
    <row r="52" spans="1:5" x14ac:dyDescent="0.25">
      <c r="A52">
        <v>58</v>
      </c>
      <c r="B52" s="7">
        <f t="shared" si="5"/>
        <v>0.18</v>
      </c>
      <c r="C52" s="6">
        <f t="shared" si="0"/>
        <v>0</v>
      </c>
      <c r="D52" s="6">
        <f t="shared" si="2"/>
        <v>0</v>
      </c>
    </row>
    <row r="53" spans="1:5" x14ac:dyDescent="0.25">
      <c r="A53">
        <v>59</v>
      </c>
      <c r="B53" s="7">
        <f t="shared" si="5"/>
        <v>0.18</v>
      </c>
      <c r="C53" s="6">
        <f t="shared" si="0"/>
        <v>0</v>
      </c>
      <c r="D53" s="6">
        <f t="shared" si="2"/>
        <v>0</v>
      </c>
    </row>
    <row r="54" spans="1:5" x14ac:dyDescent="0.25">
      <c r="A54">
        <v>60</v>
      </c>
      <c r="B54" s="7">
        <f t="shared" si="5"/>
        <v>0.18</v>
      </c>
      <c r="C54" s="6">
        <f t="shared" si="0"/>
        <v>0</v>
      </c>
      <c r="D54" s="6">
        <f t="shared" si="2"/>
        <v>0</v>
      </c>
    </row>
    <row r="55" spans="1:5" x14ac:dyDescent="0.25">
      <c r="A55">
        <v>61</v>
      </c>
      <c r="B55" s="7">
        <f t="shared" si="5"/>
        <v>0.18</v>
      </c>
      <c r="C55" s="6">
        <f t="shared" si="0"/>
        <v>0</v>
      </c>
      <c r="D55" s="6">
        <f t="shared" si="2"/>
        <v>0</v>
      </c>
    </row>
    <row r="56" spans="1:5" x14ac:dyDescent="0.25">
      <c r="A56">
        <v>62</v>
      </c>
      <c r="B56" s="7">
        <f t="shared" si="5"/>
        <v>0.18</v>
      </c>
      <c r="C56" s="6">
        <f t="shared" si="0"/>
        <v>0</v>
      </c>
      <c r="D56" s="6">
        <f t="shared" si="2"/>
        <v>0</v>
      </c>
    </row>
    <row r="57" spans="1:5" x14ac:dyDescent="0.25">
      <c r="A57">
        <v>63</v>
      </c>
      <c r="B57" s="7">
        <f t="shared" si="5"/>
        <v>0.18</v>
      </c>
      <c r="C57" s="6">
        <f t="shared" si="0"/>
        <v>0</v>
      </c>
      <c r="D57" s="6">
        <f t="shared" si="2"/>
        <v>0</v>
      </c>
    </row>
    <row r="58" spans="1:5" x14ac:dyDescent="0.25">
      <c r="A58">
        <v>64</v>
      </c>
      <c r="B58" s="7">
        <f t="shared" si="5"/>
        <v>0.18</v>
      </c>
      <c r="C58" s="6">
        <f t="shared" si="0"/>
        <v>0</v>
      </c>
      <c r="D58" s="6">
        <f t="shared" si="2"/>
        <v>0</v>
      </c>
    </row>
    <row r="59" spans="1:5" x14ac:dyDescent="0.25">
      <c r="A59">
        <v>65</v>
      </c>
      <c r="B59" s="7">
        <f t="shared" si="5"/>
        <v>0.18</v>
      </c>
      <c r="C59" s="6">
        <f t="shared" si="0"/>
        <v>0</v>
      </c>
      <c r="D59" s="6">
        <f t="shared" si="2"/>
        <v>0</v>
      </c>
      <c r="E59" s="6">
        <f>D59*B7</f>
        <v>0</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Roman,Normale"&amp;12&amp;A</oddHeader>
    <oddFooter>&amp;C&amp;"Times New Roman,Normale"&amp;12Pagina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68549-0430-4C28-A5EB-4FC1FE206035}">
  <dimension ref="A1:K56"/>
  <sheetViews>
    <sheetView topLeftCell="A39" workbookViewId="0">
      <selection activeCell="K60" sqref="A1:K60"/>
    </sheetView>
  </sheetViews>
  <sheetFormatPr defaultRowHeight="12.5" x14ac:dyDescent="0.25"/>
  <cols>
    <col min="5" max="5" width="9.90625" bestFit="1" customWidth="1"/>
  </cols>
  <sheetData>
    <row r="1" spans="1:11" ht="12.5" customHeight="1" x14ac:dyDescent="0.25">
      <c r="A1" s="265"/>
      <c r="B1" s="357"/>
      <c r="C1" s="362" t="str">
        <f>Traduzioni!$G$486</f>
        <v>Calcolo per</v>
      </c>
      <c r="D1" s="363"/>
      <c r="E1" s="1272" t="str">
        <f>Traduzioni!$G$497</f>
        <v xml:space="preserve">Rendite superstiti dec. x mal. Di </v>
      </c>
      <c r="F1" s="1273"/>
      <c r="G1" s="1273"/>
      <c r="H1" s="1273"/>
      <c r="I1" s="1273"/>
      <c r="J1" s="1274"/>
      <c r="K1" s="354"/>
    </row>
    <row r="2" spans="1:11" ht="12.5" customHeight="1" x14ac:dyDescent="0.25">
      <c r="A2" s="111"/>
      <c r="B2" s="356"/>
      <c r="C2" s="366" t="str">
        <f>'RENDITE CLIENTE'!$A$2</f>
        <v>Calcolo effettuato da:</v>
      </c>
      <c r="D2" s="368"/>
      <c r="E2" s="1275" t="str">
        <f>ANALYSIS!$B$3&amp;" - "&amp;'RENDITE CLIENTE'!$B$2</f>
        <v xml:space="preserve"> - NeoLife AG</v>
      </c>
      <c r="F2" s="1275"/>
      <c r="G2" s="1275"/>
      <c r="H2" s="1275"/>
      <c r="I2" s="1275"/>
      <c r="J2" s="1276"/>
      <c r="K2" s="354"/>
    </row>
    <row r="3" spans="1:11" ht="12.5" customHeight="1" x14ac:dyDescent="0.25">
      <c r="A3" s="111"/>
      <c r="B3" s="356"/>
      <c r="C3" s="366" t="str">
        <f>'RENDITE CLIENTE'!$A$3</f>
        <v>Parametri di calcolo:</v>
      </c>
      <c r="D3" s="368"/>
      <c r="E3" s="1277" t="str">
        <f>'RENDITE CLIENTE'!$B$3&amp;" "&amp;ANALYSIS!$B$19</f>
        <v xml:space="preserve">Scala 44 AVS/AI/IPG + Info fornite da:  </v>
      </c>
      <c r="F3" s="1277"/>
      <c r="G3" s="1277"/>
      <c r="H3" s="1277"/>
      <c r="I3" s="1277"/>
      <c r="J3" s="1278"/>
      <c r="K3" s="354"/>
    </row>
    <row r="4" spans="1:11" ht="12.5" customHeight="1" thickBot="1" x14ac:dyDescent="0.3">
      <c r="A4" s="269"/>
      <c r="B4" s="358"/>
      <c r="C4" s="367" t="str">
        <f>'RENDITE CLIENTE'!$A$4</f>
        <v>Calcolo del:</v>
      </c>
      <c r="D4" s="369"/>
      <c r="E4" s="1279">
        <f ca="1">'RENDITE CLIENTE'!$B$4</f>
        <v>45680.292758449075</v>
      </c>
      <c r="F4" s="1279"/>
      <c r="G4" s="1279"/>
      <c r="H4" s="1279"/>
      <c r="I4" s="1279"/>
      <c r="J4" s="1280"/>
      <c r="K4" s="355"/>
    </row>
    <row r="5" spans="1:11" ht="12.5" customHeight="1" thickBot="1" x14ac:dyDescent="0.3"/>
    <row r="6" spans="1:11" ht="25.5" customHeight="1" x14ac:dyDescent="0.25">
      <c r="A6" s="1269" t="str">
        <f>Traduzioni!$G$491</f>
        <v>SITUAZIONE SENZA OTTIMIZZAZIONE</v>
      </c>
      <c r="B6" s="1270"/>
      <c r="C6" s="1270"/>
      <c r="D6" s="1270"/>
      <c r="E6" s="1270"/>
      <c r="F6" s="1270"/>
      <c r="G6" s="1270"/>
      <c r="H6" s="1270"/>
      <c r="I6" s="1270"/>
      <c r="J6" s="1271"/>
    </row>
    <row r="7" spans="1:11" ht="12.5" customHeight="1" x14ac:dyDescent="0.25">
      <c r="A7" s="111"/>
      <c r="J7" s="112"/>
    </row>
    <row r="8" spans="1:11" ht="12.5" customHeight="1" x14ac:dyDescent="0.25">
      <c r="A8" s="111"/>
      <c r="J8" s="112"/>
    </row>
    <row r="9" spans="1:11" x14ac:dyDescent="0.25">
      <c r="A9" s="111"/>
      <c r="J9" s="112"/>
    </row>
    <row r="10" spans="1:11" x14ac:dyDescent="0.25">
      <c r="A10" s="111"/>
      <c r="J10" s="112"/>
    </row>
    <row r="11" spans="1:11" x14ac:dyDescent="0.25">
      <c r="A11" s="111"/>
      <c r="J11" s="112"/>
    </row>
    <row r="12" spans="1:11" x14ac:dyDescent="0.25">
      <c r="A12" s="111"/>
      <c r="J12" s="112"/>
    </row>
    <row r="13" spans="1:11" x14ac:dyDescent="0.25">
      <c r="A13" s="111"/>
      <c r="J13" s="112"/>
    </row>
    <row r="14" spans="1:11" x14ac:dyDescent="0.25">
      <c r="A14" s="111"/>
      <c r="J14" s="112"/>
    </row>
    <row r="15" spans="1:11" x14ac:dyDescent="0.25">
      <c r="A15" s="111"/>
      <c r="J15" s="112"/>
    </row>
    <row r="16" spans="1:11" x14ac:dyDescent="0.25">
      <c r="A16" s="111"/>
      <c r="J16" s="112"/>
    </row>
    <row r="17" spans="1:10" x14ac:dyDescent="0.25">
      <c r="A17" s="111"/>
      <c r="J17" s="112"/>
    </row>
    <row r="18" spans="1:10" x14ac:dyDescent="0.25">
      <c r="A18" s="111"/>
      <c r="J18" s="112"/>
    </row>
    <row r="19" spans="1:10" x14ac:dyDescent="0.25">
      <c r="A19" s="111"/>
      <c r="J19" s="112"/>
    </row>
    <row r="20" spans="1:10" x14ac:dyDescent="0.25">
      <c r="A20" s="111"/>
      <c r="J20" s="112"/>
    </row>
    <row r="21" spans="1:10" x14ac:dyDescent="0.25">
      <c r="A21" s="111"/>
      <c r="J21" s="112"/>
    </row>
    <row r="22" spans="1:10" x14ac:dyDescent="0.25">
      <c r="A22" s="111"/>
      <c r="J22" s="112"/>
    </row>
    <row r="23" spans="1:10" x14ac:dyDescent="0.25">
      <c r="A23" s="111"/>
      <c r="J23" s="112"/>
    </row>
    <row r="24" spans="1:10" x14ac:dyDescent="0.25">
      <c r="A24" s="111"/>
      <c r="J24" s="112"/>
    </row>
    <row r="25" spans="1:10" x14ac:dyDescent="0.25">
      <c r="A25" s="111"/>
      <c r="J25" s="112"/>
    </row>
    <row r="26" spans="1:10" x14ac:dyDescent="0.25">
      <c r="A26" s="111"/>
      <c r="J26" s="112"/>
    </row>
    <row r="27" spans="1:10" x14ac:dyDescent="0.25">
      <c r="A27" s="111"/>
      <c r="J27" s="112"/>
    </row>
    <row r="28" spans="1:10" x14ac:dyDescent="0.25">
      <c r="A28" s="111"/>
      <c r="J28" s="112"/>
    </row>
    <row r="29" spans="1:10" x14ac:dyDescent="0.25">
      <c r="A29" s="111"/>
      <c r="J29" s="112"/>
    </row>
    <row r="30" spans="1:10" ht="13" thickBot="1" x14ac:dyDescent="0.3">
      <c r="A30" s="269"/>
      <c r="B30" s="350"/>
      <c r="C30" s="350"/>
      <c r="D30" s="350"/>
      <c r="E30" s="350"/>
      <c r="F30" s="350"/>
      <c r="G30" s="350"/>
      <c r="H30" s="350"/>
      <c r="I30" s="350"/>
      <c r="J30" s="359"/>
    </row>
    <row r="31" spans="1:10" ht="13" thickBot="1" x14ac:dyDescent="0.3"/>
    <row r="32" spans="1:10" ht="22.5" x14ac:dyDescent="0.25">
      <c r="A32" s="1269" t="str">
        <f>Traduzioni!$G$492</f>
        <v>SITUAZIONE DOPO OTTIMIZZAZIONE</v>
      </c>
      <c r="B32" s="1270"/>
      <c r="C32" s="1270"/>
      <c r="D32" s="1270"/>
      <c r="E32" s="1270"/>
      <c r="F32" s="1270"/>
      <c r="G32" s="1270"/>
      <c r="H32" s="1270"/>
      <c r="I32" s="1270"/>
      <c r="J32" s="1271"/>
    </row>
    <row r="33" spans="1:10" x14ac:dyDescent="0.25">
      <c r="A33" s="111"/>
      <c r="J33" s="112"/>
    </row>
    <row r="34" spans="1:10" x14ac:dyDescent="0.25">
      <c r="A34" s="111"/>
      <c r="J34" s="112"/>
    </row>
    <row r="35" spans="1:10" x14ac:dyDescent="0.25">
      <c r="A35" s="111"/>
      <c r="J35" s="112"/>
    </row>
    <row r="36" spans="1:10" x14ac:dyDescent="0.25">
      <c r="A36" s="111"/>
      <c r="J36" s="112"/>
    </row>
    <row r="37" spans="1:10" x14ac:dyDescent="0.25">
      <c r="A37" s="111"/>
      <c r="J37" s="112"/>
    </row>
    <row r="38" spans="1:10" x14ac:dyDescent="0.25">
      <c r="A38" s="111"/>
      <c r="J38" s="112"/>
    </row>
    <row r="39" spans="1:10" x14ac:dyDescent="0.25">
      <c r="A39" s="111"/>
      <c r="J39" s="112"/>
    </row>
    <row r="40" spans="1:10" x14ac:dyDescent="0.25">
      <c r="A40" s="111"/>
      <c r="J40" s="112"/>
    </row>
    <row r="41" spans="1:10" x14ac:dyDescent="0.25">
      <c r="A41" s="111"/>
      <c r="J41" s="112"/>
    </row>
    <row r="42" spans="1:10" x14ac:dyDescent="0.25">
      <c r="A42" s="111"/>
      <c r="J42" s="112"/>
    </row>
    <row r="43" spans="1:10" x14ac:dyDescent="0.25">
      <c r="A43" s="111"/>
      <c r="J43" s="112"/>
    </row>
    <row r="44" spans="1:10" x14ac:dyDescent="0.25">
      <c r="A44" s="111"/>
      <c r="J44" s="112"/>
    </row>
    <row r="45" spans="1:10" x14ac:dyDescent="0.25">
      <c r="A45" s="111"/>
      <c r="J45" s="112"/>
    </row>
    <row r="46" spans="1:10" x14ac:dyDescent="0.25">
      <c r="A46" s="111"/>
      <c r="J46" s="112"/>
    </row>
    <row r="47" spans="1:10" x14ac:dyDescent="0.25">
      <c r="A47" s="111"/>
      <c r="J47" s="112"/>
    </row>
    <row r="48" spans="1:10" x14ac:dyDescent="0.25">
      <c r="A48" s="111"/>
      <c r="J48" s="112"/>
    </row>
    <row r="49" spans="1:10" x14ac:dyDescent="0.25">
      <c r="A49" s="111"/>
      <c r="J49" s="112"/>
    </row>
    <row r="50" spans="1:10" x14ac:dyDescent="0.25">
      <c r="A50" s="111"/>
      <c r="J50" s="112"/>
    </row>
    <row r="51" spans="1:10" x14ac:dyDescent="0.25">
      <c r="A51" s="111"/>
      <c r="J51" s="112"/>
    </row>
    <row r="52" spans="1:10" x14ac:dyDescent="0.25">
      <c r="A52" s="111"/>
      <c r="J52" s="112"/>
    </row>
    <row r="53" spans="1:10" x14ac:dyDescent="0.25">
      <c r="A53" s="111"/>
      <c r="J53" s="112"/>
    </row>
    <row r="54" spans="1:10" x14ac:dyDescent="0.25">
      <c r="A54" s="111"/>
      <c r="J54" s="112"/>
    </row>
    <row r="55" spans="1:10" x14ac:dyDescent="0.25">
      <c r="A55" s="111"/>
      <c r="J55" s="112"/>
    </row>
    <row r="56" spans="1:10" ht="13" thickBot="1" x14ac:dyDescent="0.3">
      <c r="A56" s="269"/>
      <c r="B56" s="350"/>
      <c r="C56" s="350"/>
      <c r="D56" s="350"/>
      <c r="E56" s="350"/>
      <c r="F56" s="350"/>
      <c r="G56" s="350"/>
      <c r="H56" s="350"/>
      <c r="I56" s="350"/>
      <c r="J56" s="359"/>
    </row>
  </sheetData>
  <mergeCells count="6">
    <mergeCell ref="A32:J32"/>
    <mergeCell ref="E1:J1"/>
    <mergeCell ref="E2:J2"/>
    <mergeCell ref="E3:J3"/>
    <mergeCell ref="E4:J4"/>
    <mergeCell ref="A6:J6"/>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667FD-700C-4DCD-B24E-3A6C77C09E7A}">
  <sheetPr codeName="Foglio18"/>
  <dimension ref="A1:C51"/>
  <sheetViews>
    <sheetView zoomScale="120" zoomScaleNormal="120" workbookViewId="0">
      <selection activeCell="B3" sqref="B3"/>
    </sheetView>
  </sheetViews>
  <sheetFormatPr defaultColWidth="12.1796875" defaultRowHeight="15.5" x14ac:dyDescent="0.35"/>
  <cols>
    <col min="1" max="1" width="28.453125" style="1" customWidth="1"/>
    <col min="2" max="2" width="55.81640625" style="1" customWidth="1"/>
    <col min="3" max="3" width="0" style="1" hidden="1" customWidth="1"/>
    <col min="4" max="16384" width="12.1796875" style="1"/>
  </cols>
  <sheetData>
    <row r="1" spans="1:3" x14ac:dyDescent="0.35">
      <c r="A1" s="255" t="str">
        <f>Traduzioni!G289</f>
        <v>Situazione previdenziale per:</v>
      </c>
      <c r="B1" s="49">
        <f>ANALYSIS!B19</f>
        <v>0</v>
      </c>
    </row>
    <row r="2" spans="1:3" x14ac:dyDescent="0.35">
      <c r="A2" s="255" t="str">
        <f>Traduzioni!G290</f>
        <v>Calcolo effettuato da:</v>
      </c>
      <c r="B2" s="257" t="str">
        <f t="array" ref="B2:C2">'PRIV-VALID.'!B6:C6</f>
        <v>NeoLife AG</v>
      </c>
      <c r="C2" s="69">
        <v>0</v>
      </c>
    </row>
    <row r="3" spans="1:3" x14ac:dyDescent="0.35">
      <c r="A3" s="255" t="str">
        <f>Traduzioni!G291</f>
        <v>Parametri di calcolo:</v>
      </c>
      <c r="B3" s="48" t="str">
        <f>Traduzioni!G294</f>
        <v xml:space="preserve">Scala 44 AVS/AI/IPG + Info fornite da: </v>
      </c>
    </row>
    <row r="4" spans="1:3" x14ac:dyDescent="0.35">
      <c r="A4" s="255" t="str">
        <f>Traduzioni!G292</f>
        <v>Calcolo del:</v>
      </c>
      <c r="B4" s="258">
        <f ca="1">NOW()</f>
        <v>45680.292758449075</v>
      </c>
    </row>
    <row r="5" spans="1:3" ht="4" customHeight="1" x14ac:dyDescent="0.35">
      <c r="A5" s="10"/>
      <c r="B5" s="10"/>
    </row>
    <row r="6" spans="1:3" x14ac:dyDescent="0.35">
      <c r="A6" s="10"/>
      <c r="B6" s="10"/>
    </row>
    <row r="7" spans="1:3" x14ac:dyDescent="0.35">
      <c r="A7" s="10"/>
      <c r="B7" s="10"/>
    </row>
    <row r="8" spans="1:3" x14ac:dyDescent="0.35">
      <c r="A8" s="10"/>
      <c r="B8" s="10"/>
    </row>
    <row r="9" spans="1:3" x14ac:dyDescent="0.35">
      <c r="A9" s="10"/>
      <c r="B9" s="10"/>
    </row>
    <row r="10" spans="1:3" x14ac:dyDescent="0.35">
      <c r="A10" s="10"/>
      <c r="B10" s="10"/>
    </row>
    <row r="11" spans="1:3" x14ac:dyDescent="0.35">
      <c r="A11" s="10"/>
      <c r="B11" s="10"/>
    </row>
    <row r="12" spans="1:3" x14ac:dyDescent="0.35">
      <c r="A12" s="10"/>
      <c r="B12" s="10"/>
    </row>
    <row r="13" spans="1:3" x14ac:dyDescent="0.35">
      <c r="A13" s="10"/>
      <c r="B13" s="10"/>
    </row>
    <row r="14" spans="1:3" x14ac:dyDescent="0.35">
      <c r="A14" s="10"/>
      <c r="B14" s="10"/>
    </row>
    <row r="15" spans="1:3" x14ac:dyDescent="0.35">
      <c r="A15" s="10"/>
      <c r="B15" s="10"/>
    </row>
    <row r="16" spans="1:3" x14ac:dyDescent="0.35">
      <c r="A16" s="10"/>
      <c r="B16" s="10"/>
    </row>
    <row r="17" spans="1:2" x14ac:dyDescent="0.35">
      <c r="A17" s="10"/>
      <c r="B17" s="10"/>
    </row>
    <row r="18" spans="1:2" x14ac:dyDescent="0.35">
      <c r="A18" s="10"/>
      <c r="B18" s="10"/>
    </row>
    <row r="19" spans="1:2" x14ac:dyDescent="0.35">
      <c r="A19" s="10"/>
      <c r="B19" s="10"/>
    </row>
    <row r="20" spans="1:2" x14ac:dyDescent="0.35">
      <c r="A20" s="10"/>
      <c r="B20" s="10"/>
    </row>
    <row r="21" spans="1:2" x14ac:dyDescent="0.35">
      <c r="A21" s="10"/>
      <c r="B21" s="10"/>
    </row>
    <row r="22" spans="1:2" x14ac:dyDescent="0.35">
      <c r="A22" s="10"/>
      <c r="B22" s="10"/>
    </row>
    <row r="23" spans="1:2" x14ac:dyDescent="0.35">
      <c r="A23" s="10"/>
      <c r="B23" s="10"/>
    </row>
    <row r="24" spans="1:2" x14ac:dyDescent="0.35">
      <c r="A24" s="10"/>
      <c r="B24" s="10"/>
    </row>
    <row r="25" spans="1:2" x14ac:dyDescent="0.35">
      <c r="A25" s="10"/>
      <c r="B25" s="10"/>
    </row>
    <row r="26" spans="1:2" x14ac:dyDescent="0.35">
      <c r="A26" s="10"/>
      <c r="B26" s="10"/>
    </row>
    <row r="27" spans="1:2" x14ac:dyDescent="0.35">
      <c r="A27" s="10"/>
      <c r="B27" s="10"/>
    </row>
    <row r="28" spans="1:2" x14ac:dyDescent="0.35">
      <c r="A28" s="10"/>
      <c r="B28" s="10"/>
    </row>
    <row r="29" spans="1:2" x14ac:dyDescent="0.35">
      <c r="A29" s="10"/>
      <c r="B29" s="10"/>
    </row>
    <row r="30" spans="1:2" x14ac:dyDescent="0.35">
      <c r="A30" s="10"/>
      <c r="B30" s="10"/>
    </row>
    <row r="31" spans="1:2" x14ac:dyDescent="0.35">
      <c r="A31" s="10"/>
      <c r="B31" s="10"/>
    </row>
    <row r="32" spans="1:2" x14ac:dyDescent="0.35">
      <c r="A32" s="10"/>
      <c r="B32" s="10"/>
    </row>
    <row r="33" spans="1:2" x14ac:dyDescent="0.35">
      <c r="A33" s="10"/>
      <c r="B33" s="10"/>
    </row>
    <row r="34" spans="1:2" x14ac:dyDescent="0.35">
      <c r="A34" s="10"/>
      <c r="B34" s="10"/>
    </row>
    <row r="35" spans="1:2" x14ac:dyDescent="0.35">
      <c r="A35" s="10"/>
      <c r="B35" s="10"/>
    </row>
    <row r="36" spans="1:2" x14ac:dyDescent="0.35">
      <c r="A36" s="10"/>
      <c r="B36" s="10"/>
    </row>
    <row r="37" spans="1:2" x14ac:dyDescent="0.35">
      <c r="A37" s="10"/>
      <c r="B37" s="10"/>
    </row>
    <row r="38" spans="1:2" x14ac:dyDescent="0.35">
      <c r="A38" s="10"/>
      <c r="B38" s="10"/>
    </row>
    <row r="39" spans="1:2" x14ac:dyDescent="0.35">
      <c r="A39" s="10"/>
      <c r="B39" s="10"/>
    </row>
    <row r="40" spans="1:2" x14ac:dyDescent="0.35">
      <c r="A40" s="10"/>
      <c r="B40" s="10"/>
    </row>
    <row r="41" spans="1:2" x14ac:dyDescent="0.35">
      <c r="A41" s="10"/>
      <c r="B41" s="10"/>
    </row>
    <row r="42" spans="1:2" x14ac:dyDescent="0.35">
      <c r="A42" s="10"/>
      <c r="B42" s="10"/>
    </row>
    <row r="43" spans="1:2" x14ac:dyDescent="0.35">
      <c r="A43" s="10"/>
      <c r="B43" s="10"/>
    </row>
    <row r="44" spans="1:2" x14ac:dyDescent="0.35">
      <c r="A44" s="10"/>
      <c r="B44" s="10"/>
    </row>
    <row r="45" spans="1:2" x14ac:dyDescent="0.35">
      <c r="A45" s="10"/>
      <c r="B45" s="10"/>
    </row>
    <row r="46" spans="1:2" x14ac:dyDescent="0.35">
      <c r="A46" s="10"/>
      <c r="B46" s="10"/>
    </row>
    <row r="47" spans="1:2" x14ac:dyDescent="0.35">
      <c r="A47" s="10"/>
      <c r="B47" s="10"/>
    </row>
    <row r="48" spans="1:2" x14ac:dyDescent="0.35">
      <c r="A48" s="10"/>
      <c r="B48" s="10"/>
    </row>
    <row r="49" spans="1:2" x14ac:dyDescent="0.35">
      <c r="A49" s="10"/>
      <c r="B49" s="10"/>
    </row>
    <row r="50" spans="1:2" x14ac:dyDescent="0.35">
      <c r="A50" s="10"/>
      <c r="B50" s="10"/>
    </row>
    <row r="51" spans="1:2" x14ac:dyDescent="0.35">
      <c r="A51" s="10"/>
      <c r="B51" s="10"/>
    </row>
  </sheetData>
  <sheetProtection selectLockedCells="1"/>
  <pageMargins left="0.7" right="0.7" top="0.75" bottom="0.75" header="0.3" footer="0.3"/>
  <pageSetup paperSize="9" scale="95" firstPageNumber="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97F9-0FC5-4550-AB9A-8ED8D39360D9}">
  <sheetPr codeName="Foglio21">
    <pageSetUpPr fitToPage="1"/>
  </sheetPr>
  <dimension ref="A1:C46"/>
  <sheetViews>
    <sheetView zoomScale="120" zoomScaleNormal="120" workbookViewId="0">
      <selection activeCell="C16" sqref="C1:C1048576"/>
    </sheetView>
  </sheetViews>
  <sheetFormatPr defaultColWidth="12.1796875" defaultRowHeight="15.5" x14ac:dyDescent="0.35"/>
  <cols>
    <col min="1" max="1" width="28.453125" style="1" customWidth="1"/>
    <col min="2" max="2" width="55.81640625" style="1" customWidth="1"/>
    <col min="3" max="3" width="0" style="1" hidden="1" customWidth="1"/>
    <col min="4" max="16384" width="12.1796875" style="1"/>
  </cols>
  <sheetData>
    <row r="1" spans="1:3" x14ac:dyDescent="0.35">
      <c r="A1" s="255" t="str">
        <f>Traduzioni!G289</f>
        <v>Situazione previdenziale per:</v>
      </c>
      <c r="B1" s="49">
        <f>ANALYSIS!C19</f>
        <v>0</v>
      </c>
    </row>
    <row r="2" spans="1:3" x14ac:dyDescent="0.35">
      <c r="A2" s="255" t="str">
        <f>Traduzioni!G290</f>
        <v>Calcolo effettuato da:</v>
      </c>
      <c r="B2" s="257" t="str">
        <f t="array" ref="B2:C2">'PRIV-VALID.'!B6:C6</f>
        <v>NeoLife AG</v>
      </c>
      <c r="C2" s="346">
        <v>0</v>
      </c>
    </row>
    <row r="3" spans="1:3" x14ac:dyDescent="0.35">
      <c r="A3" s="255" t="str">
        <f>Traduzioni!G291</f>
        <v>Parametri di calcolo:</v>
      </c>
      <c r="B3" s="48" t="str">
        <f>Traduzioni!G294</f>
        <v xml:space="preserve">Scala 44 AVS/AI/IPG + Info fornite da: </v>
      </c>
    </row>
    <row r="4" spans="1:3" x14ac:dyDescent="0.35">
      <c r="A4" s="255" t="str">
        <f>Traduzioni!G292</f>
        <v>Calcolo del:</v>
      </c>
      <c r="B4" s="258">
        <f ca="1">NOW()</f>
        <v>45680.292758449075</v>
      </c>
    </row>
    <row r="5" spans="1:3" ht="4" customHeight="1" x14ac:dyDescent="0.35">
      <c r="A5" s="10"/>
      <c r="B5" s="10"/>
    </row>
    <row r="6" spans="1:3" x14ac:dyDescent="0.35">
      <c r="A6" s="10"/>
      <c r="B6" s="10"/>
    </row>
    <row r="7" spans="1:3" x14ac:dyDescent="0.35">
      <c r="A7" s="10"/>
      <c r="B7" s="10"/>
    </row>
    <row r="8" spans="1:3" x14ac:dyDescent="0.35">
      <c r="A8" s="10"/>
      <c r="B8" s="10"/>
    </row>
    <row r="9" spans="1:3" x14ac:dyDescent="0.35">
      <c r="A9" s="10"/>
      <c r="B9" s="10"/>
    </row>
    <row r="10" spans="1:3" x14ac:dyDescent="0.35">
      <c r="A10" s="10"/>
      <c r="B10" s="10"/>
    </row>
    <row r="11" spans="1:3" x14ac:dyDescent="0.35">
      <c r="A11" s="10"/>
      <c r="B11" s="10"/>
    </row>
    <row r="12" spans="1:3" x14ac:dyDescent="0.35">
      <c r="A12" s="10"/>
      <c r="B12" s="10"/>
    </row>
    <row r="13" spans="1:3" x14ac:dyDescent="0.35">
      <c r="A13" s="10"/>
      <c r="B13" s="10"/>
    </row>
    <row r="14" spans="1:3" x14ac:dyDescent="0.35">
      <c r="A14" s="10"/>
      <c r="B14" s="10"/>
    </row>
    <row r="15" spans="1:3" x14ac:dyDescent="0.35">
      <c r="A15" s="10"/>
      <c r="B15" s="10"/>
    </row>
    <row r="16" spans="1:3" x14ac:dyDescent="0.35">
      <c r="A16" s="10"/>
      <c r="B16" s="10"/>
    </row>
    <row r="17" spans="1:2" x14ac:dyDescent="0.35">
      <c r="A17" s="10"/>
      <c r="B17" s="10"/>
    </row>
    <row r="18" spans="1:2" x14ac:dyDescent="0.35">
      <c r="A18" s="10"/>
      <c r="B18" s="10"/>
    </row>
    <row r="19" spans="1:2" x14ac:dyDescent="0.35">
      <c r="A19" s="10"/>
      <c r="B19" s="10"/>
    </row>
    <row r="20" spans="1:2" x14ac:dyDescent="0.35">
      <c r="A20" s="10"/>
      <c r="B20" s="10"/>
    </row>
    <row r="21" spans="1:2" x14ac:dyDescent="0.35">
      <c r="A21" s="10"/>
      <c r="B21" s="10"/>
    </row>
    <row r="22" spans="1:2" x14ac:dyDescent="0.35">
      <c r="A22" s="10"/>
      <c r="B22" s="10"/>
    </row>
    <row r="23" spans="1:2" x14ac:dyDescent="0.35">
      <c r="A23" s="10"/>
      <c r="B23" s="10"/>
    </row>
    <row r="24" spans="1:2" x14ac:dyDescent="0.35">
      <c r="A24" s="10"/>
      <c r="B24" s="10"/>
    </row>
    <row r="25" spans="1:2" x14ac:dyDescent="0.35">
      <c r="A25" s="10"/>
      <c r="B25" s="10"/>
    </row>
    <row r="26" spans="1:2" x14ac:dyDescent="0.35">
      <c r="A26" s="10"/>
      <c r="B26" s="10"/>
    </row>
    <row r="27" spans="1:2" x14ac:dyDescent="0.35">
      <c r="A27" s="10"/>
      <c r="B27" s="10"/>
    </row>
    <row r="28" spans="1:2" x14ac:dyDescent="0.35">
      <c r="A28" s="10"/>
      <c r="B28" s="10"/>
    </row>
    <row r="29" spans="1:2" x14ac:dyDescent="0.35">
      <c r="A29" s="10"/>
      <c r="B29" s="10"/>
    </row>
    <row r="30" spans="1:2" x14ac:dyDescent="0.35">
      <c r="A30" s="10"/>
      <c r="B30" s="10"/>
    </row>
    <row r="31" spans="1:2" x14ac:dyDescent="0.35">
      <c r="A31" s="10"/>
      <c r="B31" s="10"/>
    </row>
    <row r="32" spans="1:2" x14ac:dyDescent="0.35">
      <c r="A32" s="10"/>
      <c r="B32" s="10"/>
    </row>
    <row r="33" spans="1:2" x14ac:dyDescent="0.35">
      <c r="A33" s="10"/>
      <c r="B33" s="10"/>
    </row>
    <row r="34" spans="1:2" x14ac:dyDescent="0.35">
      <c r="A34" s="10"/>
      <c r="B34" s="10"/>
    </row>
    <row r="35" spans="1:2" x14ac:dyDescent="0.35">
      <c r="A35" s="10"/>
      <c r="B35" s="10"/>
    </row>
    <row r="36" spans="1:2" x14ac:dyDescent="0.35">
      <c r="A36" s="10"/>
      <c r="B36" s="10"/>
    </row>
    <row r="37" spans="1:2" x14ac:dyDescent="0.35">
      <c r="A37" s="10"/>
      <c r="B37" s="10"/>
    </row>
    <row r="38" spans="1:2" x14ac:dyDescent="0.35">
      <c r="A38" s="10"/>
      <c r="B38" s="10"/>
    </row>
    <row r="39" spans="1:2" x14ac:dyDescent="0.35">
      <c r="A39" s="10"/>
      <c r="B39" s="10"/>
    </row>
    <row r="40" spans="1:2" x14ac:dyDescent="0.35">
      <c r="A40" s="10"/>
      <c r="B40" s="10"/>
    </row>
    <row r="41" spans="1:2" x14ac:dyDescent="0.35">
      <c r="A41" s="10"/>
      <c r="B41" s="10"/>
    </row>
    <row r="42" spans="1:2" x14ac:dyDescent="0.35">
      <c r="A42" s="10"/>
      <c r="B42" s="10"/>
    </row>
    <row r="43" spans="1:2" x14ac:dyDescent="0.35">
      <c r="A43" s="10"/>
      <c r="B43" s="10"/>
    </row>
    <row r="44" spans="1:2" x14ac:dyDescent="0.35">
      <c r="A44" s="10"/>
      <c r="B44" s="10"/>
    </row>
    <row r="45" spans="1:2" x14ac:dyDescent="0.35">
      <c r="A45" s="10"/>
      <c r="B45" s="10"/>
    </row>
    <row r="46" spans="1:2" x14ac:dyDescent="0.35">
      <c r="A46" s="10"/>
      <c r="B46" s="10"/>
    </row>
  </sheetData>
  <sheetProtection sheet="1" objects="1" scenarios="1" selectLockedCells="1"/>
  <pageMargins left="0.7" right="0.7" top="0.75" bottom="0.75" header="0.3" footer="0.3"/>
  <pageSetup paperSize="9" firstPageNumber="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2C57B-28D9-4D65-A9C6-AD297C32E768}">
  <sheetPr codeName="Foglio22">
    <pageSetUpPr fitToPage="1"/>
  </sheetPr>
  <dimension ref="A1:C46"/>
  <sheetViews>
    <sheetView topLeftCell="A19" zoomScale="120" zoomScaleNormal="120" workbookViewId="0">
      <selection activeCell="B1" sqref="B1"/>
    </sheetView>
  </sheetViews>
  <sheetFormatPr defaultColWidth="12.1796875" defaultRowHeight="15.5" x14ac:dyDescent="0.35"/>
  <cols>
    <col min="1" max="1" width="28.453125" style="1" customWidth="1"/>
    <col min="2" max="2" width="55.81640625" style="1" customWidth="1"/>
    <col min="3" max="16384" width="12.1796875" style="1"/>
  </cols>
  <sheetData>
    <row r="1" spans="1:3" x14ac:dyDescent="0.35">
      <c r="A1" s="255" t="str">
        <f>Traduzioni!G289</f>
        <v>Situazione previdenziale per:</v>
      </c>
      <c r="B1" s="105" t="str">
        <f>Traduzioni!$G$293 &amp;  " " &amp;ANALYSIS!$B$19</f>
        <v xml:space="preserve">Coperture coniuge decesso di </v>
      </c>
    </row>
    <row r="2" spans="1:3" x14ac:dyDescent="0.35">
      <c r="A2" s="255" t="str">
        <f>Traduzioni!G290</f>
        <v>Calcolo effettuato da:</v>
      </c>
      <c r="B2" s="257" t="str">
        <f t="array" ref="B2:C2">'PRIV-VALID.'!B6:C6</f>
        <v>NeoLife AG</v>
      </c>
      <c r="C2" s="69">
        <v>0</v>
      </c>
    </row>
    <row r="3" spans="1:3" x14ac:dyDescent="0.35">
      <c r="A3" s="255" t="str">
        <f>Traduzioni!G291</f>
        <v>Parametri di calcolo:</v>
      </c>
      <c r="B3" s="48" t="str">
        <f>Traduzioni!G294</f>
        <v xml:space="preserve">Scala 44 AVS/AI/IPG + Info fornite da: </v>
      </c>
    </row>
    <row r="4" spans="1:3" x14ac:dyDescent="0.35">
      <c r="A4" s="255" t="str">
        <f>Traduzioni!G292</f>
        <v>Calcolo del:</v>
      </c>
      <c r="B4" s="258">
        <f ca="1">NOW()</f>
        <v>45680.292758449075</v>
      </c>
    </row>
    <row r="5" spans="1:3" ht="4" customHeight="1" x14ac:dyDescent="0.35">
      <c r="A5" s="10"/>
      <c r="B5" s="10"/>
    </row>
    <row r="6" spans="1:3" x14ac:dyDescent="0.35">
      <c r="A6" s="10"/>
      <c r="B6" s="10"/>
    </row>
    <row r="7" spans="1:3" x14ac:dyDescent="0.35">
      <c r="A7" s="10"/>
      <c r="B7" s="10"/>
    </row>
    <row r="8" spans="1:3" x14ac:dyDescent="0.35">
      <c r="A8" s="10"/>
      <c r="B8" s="10"/>
    </row>
    <row r="9" spans="1:3" x14ac:dyDescent="0.35">
      <c r="A9" s="10"/>
      <c r="B9" s="10"/>
    </row>
    <row r="10" spans="1:3" x14ac:dyDescent="0.35">
      <c r="A10" s="10"/>
      <c r="B10" s="10"/>
    </row>
    <row r="11" spans="1:3" x14ac:dyDescent="0.35">
      <c r="A11" s="10"/>
      <c r="B11" s="10"/>
    </row>
    <row r="12" spans="1:3" x14ac:dyDescent="0.35">
      <c r="A12" s="10"/>
      <c r="B12" s="10"/>
    </row>
    <row r="13" spans="1:3" x14ac:dyDescent="0.35">
      <c r="A13" s="10"/>
      <c r="B13" s="10"/>
    </row>
    <row r="14" spans="1:3" x14ac:dyDescent="0.35">
      <c r="A14" s="10"/>
      <c r="B14" s="10"/>
    </row>
    <row r="15" spans="1:3" x14ac:dyDescent="0.35">
      <c r="A15" s="10"/>
      <c r="B15" s="10"/>
    </row>
    <row r="16" spans="1:3" x14ac:dyDescent="0.35">
      <c r="A16" s="10"/>
      <c r="B16" s="10"/>
    </row>
    <row r="17" spans="1:2" x14ac:dyDescent="0.35">
      <c r="A17" s="10"/>
      <c r="B17" s="10"/>
    </row>
    <row r="18" spans="1:2" x14ac:dyDescent="0.35">
      <c r="A18" s="10"/>
      <c r="B18" s="10"/>
    </row>
    <row r="19" spans="1:2" x14ac:dyDescent="0.35">
      <c r="A19" s="10"/>
      <c r="B19" s="10"/>
    </row>
    <row r="20" spans="1:2" x14ac:dyDescent="0.35">
      <c r="A20" s="10"/>
      <c r="B20" s="10"/>
    </row>
    <row r="21" spans="1:2" x14ac:dyDescent="0.35">
      <c r="A21" s="10"/>
      <c r="B21" s="10"/>
    </row>
    <row r="22" spans="1:2" x14ac:dyDescent="0.35">
      <c r="A22" s="10"/>
      <c r="B22" s="10"/>
    </row>
    <row r="23" spans="1:2" x14ac:dyDescent="0.35">
      <c r="A23" s="10"/>
      <c r="B23" s="10"/>
    </row>
    <row r="24" spans="1:2" x14ac:dyDescent="0.35">
      <c r="A24" s="10"/>
      <c r="B24" s="10"/>
    </row>
    <row r="25" spans="1:2" x14ac:dyDescent="0.35">
      <c r="A25" s="10"/>
      <c r="B25" s="10"/>
    </row>
    <row r="26" spans="1:2" x14ac:dyDescent="0.35">
      <c r="A26" s="10"/>
      <c r="B26" s="10"/>
    </row>
    <row r="27" spans="1:2" x14ac:dyDescent="0.35">
      <c r="A27" s="10"/>
      <c r="B27" s="10"/>
    </row>
    <row r="28" spans="1:2" x14ac:dyDescent="0.35">
      <c r="A28" s="10"/>
      <c r="B28" s="10"/>
    </row>
    <row r="29" spans="1:2" x14ac:dyDescent="0.35">
      <c r="A29" s="10"/>
      <c r="B29" s="10"/>
    </row>
    <row r="30" spans="1:2" x14ac:dyDescent="0.35">
      <c r="A30" s="10"/>
      <c r="B30" s="10"/>
    </row>
    <row r="31" spans="1:2" x14ac:dyDescent="0.35">
      <c r="A31" s="10"/>
      <c r="B31" s="10"/>
    </row>
    <row r="32" spans="1:2" x14ac:dyDescent="0.35">
      <c r="A32" s="10"/>
      <c r="B32" s="10"/>
    </row>
    <row r="33" spans="1:2" x14ac:dyDescent="0.35">
      <c r="A33" s="10"/>
      <c r="B33" s="10"/>
    </row>
    <row r="34" spans="1:2" x14ac:dyDescent="0.35">
      <c r="A34" s="10"/>
      <c r="B34" s="10"/>
    </row>
    <row r="35" spans="1:2" x14ac:dyDescent="0.35">
      <c r="A35" s="10"/>
      <c r="B35" s="10"/>
    </row>
    <row r="36" spans="1:2" x14ac:dyDescent="0.35">
      <c r="A36" s="10"/>
      <c r="B36" s="10"/>
    </row>
    <row r="37" spans="1:2" x14ac:dyDescent="0.35">
      <c r="A37" s="10"/>
      <c r="B37" s="10"/>
    </row>
    <row r="38" spans="1:2" x14ac:dyDescent="0.35">
      <c r="A38" s="10"/>
      <c r="B38" s="10"/>
    </row>
    <row r="39" spans="1:2" x14ac:dyDescent="0.35">
      <c r="A39" s="10"/>
      <c r="B39" s="10"/>
    </row>
    <row r="40" spans="1:2" x14ac:dyDescent="0.35">
      <c r="A40" s="10"/>
      <c r="B40" s="10"/>
    </row>
    <row r="41" spans="1:2" x14ac:dyDescent="0.35">
      <c r="A41" s="10"/>
      <c r="B41" s="10"/>
    </row>
    <row r="42" spans="1:2" x14ac:dyDescent="0.35">
      <c r="A42" s="10"/>
      <c r="B42" s="10"/>
    </row>
    <row r="43" spans="1:2" x14ac:dyDescent="0.35">
      <c r="A43" s="10"/>
      <c r="B43" s="10"/>
    </row>
    <row r="44" spans="1:2" x14ac:dyDescent="0.35">
      <c r="A44" s="10"/>
      <c r="B44" s="10"/>
    </row>
    <row r="45" spans="1:2" x14ac:dyDescent="0.35">
      <c r="A45" s="10"/>
      <c r="B45" s="10"/>
    </row>
    <row r="46" spans="1:2" x14ac:dyDescent="0.35">
      <c r="A46" s="10"/>
      <c r="B46" s="10"/>
    </row>
  </sheetData>
  <sheetProtection sheet="1" objects="1" scenarios="1" selectLockedCells="1"/>
  <pageMargins left="0.7" right="0.7" top="0.75" bottom="0.75" header="0.3" footer="0.3"/>
  <pageSetup paperSize="9" scale="92" firstPageNumber="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E0CA-996B-4ACF-A6E7-BC0488E60BBD}">
  <sheetPr codeName="Foglio19"/>
  <dimension ref="A1:C50"/>
  <sheetViews>
    <sheetView zoomScale="120" zoomScaleNormal="120" workbookViewId="0">
      <selection activeCell="C23" sqref="C23"/>
    </sheetView>
  </sheetViews>
  <sheetFormatPr defaultColWidth="12.1796875" defaultRowHeight="15.5" x14ac:dyDescent="0.35"/>
  <cols>
    <col min="1" max="1" width="28.453125" style="1" customWidth="1"/>
    <col min="2" max="2" width="55.81640625" style="1" customWidth="1"/>
    <col min="3" max="16384" width="12.1796875" style="1"/>
  </cols>
  <sheetData>
    <row r="1" spans="1:3" x14ac:dyDescent="0.35">
      <c r="A1" s="255" t="str">
        <f>Traduzioni!G289</f>
        <v>Situazione previdenziale per:</v>
      </c>
      <c r="B1" s="105" t="str">
        <f>Traduzioni!G293 &amp; " " &amp;ANALYSIS!C19</f>
        <v xml:space="preserve">Coperture coniuge decesso di </v>
      </c>
    </row>
    <row r="2" spans="1:3" x14ac:dyDescent="0.35">
      <c r="A2" s="255" t="str">
        <f>Traduzioni!G290</f>
        <v>Calcolo effettuato da:</v>
      </c>
      <c r="B2" s="257" t="str">
        <f t="array" ref="B2:C2">'PRIV-VALID.'!B6:C6</f>
        <v>NeoLife AG</v>
      </c>
      <c r="C2" s="1">
        <v>0</v>
      </c>
    </row>
    <row r="3" spans="1:3" x14ac:dyDescent="0.35">
      <c r="A3" s="255" t="str">
        <f>Traduzioni!G291</f>
        <v>Parametri di calcolo:</v>
      </c>
      <c r="B3" s="48" t="str">
        <f>Traduzioni!G294</f>
        <v xml:space="preserve">Scala 44 AVS/AI/IPG + Info fornite da: </v>
      </c>
    </row>
    <row r="4" spans="1:3" x14ac:dyDescent="0.35">
      <c r="A4" s="255" t="str">
        <f>Traduzioni!G292</f>
        <v>Calcolo del:</v>
      </c>
      <c r="B4" s="258">
        <f ca="1">NOW()</f>
        <v>45680.292758449075</v>
      </c>
    </row>
    <row r="5" spans="1:3" ht="4" customHeight="1" x14ac:dyDescent="0.35">
      <c r="A5" s="10"/>
      <c r="B5" s="10"/>
    </row>
    <row r="6" spans="1:3" x14ac:dyDescent="0.35">
      <c r="A6" s="10"/>
      <c r="B6" s="10"/>
    </row>
    <row r="7" spans="1:3" x14ac:dyDescent="0.35">
      <c r="A7" s="10"/>
      <c r="B7" s="10"/>
    </row>
    <row r="8" spans="1:3" x14ac:dyDescent="0.35">
      <c r="A8" s="10"/>
      <c r="B8" s="10"/>
    </row>
    <row r="9" spans="1:3" x14ac:dyDescent="0.35">
      <c r="A9" s="10"/>
      <c r="B9" s="10"/>
    </row>
    <row r="10" spans="1:3" x14ac:dyDescent="0.35">
      <c r="A10" s="10"/>
      <c r="B10" s="10"/>
    </row>
    <row r="11" spans="1:3" x14ac:dyDescent="0.35">
      <c r="A11" s="10"/>
      <c r="B11" s="10"/>
    </row>
    <row r="12" spans="1:3" x14ac:dyDescent="0.35">
      <c r="A12" s="10"/>
      <c r="B12" s="10"/>
    </row>
    <row r="13" spans="1:3" x14ac:dyDescent="0.35">
      <c r="A13" s="10"/>
      <c r="B13" s="10"/>
    </row>
    <row r="14" spans="1:3" x14ac:dyDescent="0.35">
      <c r="A14" s="10"/>
      <c r="B14" s="10"/>
    </row>
    <row r="15" spans="1:3" x14ac:dyDescent="0.35">
      <c r="A15" s="10"/>
      <c r="B15" s="10"/>
    </row>
    <row r="16" spans="1:3" x14ac:dyDescent="0.35">
      <c r="A16" s="10"/>
      <c r="B16" s="10"/>
    </row>
    <row r="17" spans="1:2" x14ac:dyDescent="0.35">
      <c r="A17" s="10"/>
      <c r="B17" s="10"/>
    </row>
    <row r="18" spans="1:2" x14ac:dyDescent="0.35">
      <c r="A18" s="10"/>
      <c r="B18" s="10"/>
    </row>
    <row r="19" spans="1:2" x14ac:dyDescent="0.35">
      <c r="A19" s="10"/>
      <c r="B19" s="10"/>
    </row>
    <row r="20" spans="1:2" x14ac:dyDescent="0.35">
      <c r="A20" s="10"/>
      <c r="B20" s="10"/>
    </row>
    <row r="21" spans="1:2" x14ac:dyDescent="0.35">
      <c r="A21" s="10"/>
      <c r="B21" s="10"/>
    </row>
    <row r="22" spans="1:2" x14ac:dyDescent="0.35">
      <c r="A22" s="10"/>
      <c r="B22" s="10"/>
    </row>
    <row r="23" spans="1:2" x14ac:dyDescent="0.35">
      <c r="A23" s="10"/>
      <c r="B23" s="10"/>
    </row>
    <row r="24" spans="1:2" x14ac:dyDescent="0.35">
      <c r="A24" s="10"/>
      <c r="B24" s="10"/>
    </row>
    <row r="25" spans="1:2" x14ac:dyDescent="0.35">
      <c r="A25" s="10"/>
      <c r="B25" s="10"/>
    </row>
    <row r="26" spans="1:2" x14ac:dyDescent="0.35">
      <c r="A26" s="10"/>
      <c r="B26" s="10"/>
    </row>
    <row r="27" spans="1:2" x14ac:dyDescent="0.35">
      <c r="A27" s="10"/>
      <c r="B27" s="10"/>
    </row>
    <row r="28" spans="1:2" x14ac:dyDescent="0.35">
      <c r="A28" s="10"/>
      <c r="B28" s="10"/>
    </row>
    <row r="29" spans="1:2" x14ac:dyDescent="0.35">
      <c r="A29" s="10"/>
      <c r="B29" s="10"/>
    </row>
    <row r="30" spans="1:2" x14ac:dyDescent="0.35">
      <c r="A30" s="10"/>
      <c r="B30" s="10"/>
    </row>
    <row r="31" spans="1:2" x14ac:dyDescent="0.35">
      <c r="A31" s="10"/>
      <c r="B31" s="10"/>
    </row>
    <row r="32" spans="1:2" x14ac:dyDescent="0.35">
      <c r="A32" s="10"/>
      <c r="B32" s="10"/>
    </row>
    <row r="33" spans="1:2" x14ac:dyDescent="0.35">
      <c r="A33" s="10"/>
      <c r="B33" s="10"/>
    </row>
    <row r="34" spans="1:2" x14ac:dyDescent="0.35">
      <c r="A34" s="10"/>
      <c r="B34" s="10"/>
    </row>
    <row r="35" spans="1:2" x14ac:dyDescent="0.35">
      <c r="A35" s="10"/>
      <c r="B35" s="10"/>
    </row>
    <row r="36" spans="1:2" x14ac:dyDescent="0.35">
      <c r="A36" s="10"/>
      <c r="B36" s="10"/>
    </row>
    <row r="37" spans="1:2" x14ac:dyDescent="0.35">
      <c r="A37" s="10"/>
      <c r="B37" s="10"/>
    </row>
    <row r="38" spans="1:2" x14ac:dyDescent="0.35">
      <c r="A38" s="10"/>
      <c r="B38" s="10"/>
    </row>
    <row r="39" spans="1:2" x14ac:dyDescent="0.35">
      <c r="A39" s="10"/>
      <c r="B39" s="10"/>
    </row>
    <row r="40" spans="1:2" x14ac:dyDescent="0.35">
      <c r="A40" s="10"/>
      <c r="B40" s="10"/>
    </row>
    <row r="41" spans="1:2" x14ac:dyDescent="0.35">
      <c r="A41" s="10"/>
      <c r="B41" s="10"/>
    </row>
    <row r="42" spans="1:2" x14ac:dyDescent="0.35">
      <c r="A42" s="10"/>
      <c r="B42" s="10"/>
    </row>
    <row r="43" spans="1:2" x14ac:dyDescent="0.35">
      <c r="A43" s="10"/>
      <c r="B43" s="10"/>
    </row>
    <row r="44" spans="1:2" x14ac:dyDescent="0.35">
      <c r="A44" s="10"/>
      <c r="B44" s="10"/>
    </row>
    <row r="45" spans="1:2" x14ac:dyDescent="0.35">
      <c r="A45" s="10"/>
      <c r="B45" s="10"/>
    </row>
    <row r="46" spans="1:2" x14ac:dyDescent="0.35">
      <c r="A46" s="10"/>
      <c r="B46" s="10"/>
    </row>
    <row r="47" spans="1:2" x14ac:dyDescent="0.35">
      <c r="A47" s="10"/>
      <c r="B47" s="10"/>
    </row>
    <row r="48" spans="1:2" x14ac:dyDescent="0.35">
      <c r="A48" s="10"/>
      <c r="B48" s="10"/>
    </row>
    <row r="49" spans="1:2" x14ac:dyDescent="0.35">
      <c r="A49" s="10"/>
      <c r="B49" s="10"/>
    </row>
    <row r="50" spans="1:2" x14ac:dyDescent="0.35">
      <c r="A50" s="10"/>
      <c r="B50" s="10"/>
    </row>
  </sheetData>
  <sheetProtection sheet="1" objects="1" scenarios="1" selectLockedCells="1"/>
  <pageMargins left="0.7" right="0.7" top="0.75" bottom="0.75" header="0.3" footer="0.3"/>
  <pageSetup paperSize="9" firstPageNumber="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F2713-517A-44EF-9EDD-DE9E6778FCC8}">
  <dimension ref="A1:O46"/>
  <sheetViews>
    <sheetView showGridLines="0" showRowColHeaders="0" zoomScaleNormal="100" zoomScaleSheetLayoutView="100" workbookViewId="0">
      <selection activeCell="I2" sqref="I2:O2"/>
    </sheetView>
  </sheetViews>
  <sheetFormatPr defaultRowHeight="12.5" x14ac:dyDescent="0.25"/>
  <cols>
    <col min="1" max="18" width="8.1796875" customWidth="1"/>
  </cols>
  <sheetData>
    <row r="1" spans="1:15" ht="13" thickBot="1" x14ac:dyDescent="0.3"/>
    <row r="2" spans="1:15" ht="14" x14ac:dyDescent="0.25">
      <c r="A2" s="265"/>
      <c r="B2" s="349"/>
      <c r="C2" s="349"/>
      <c r="D2" s="349"/>
      <c r="E2" s="1263" t="str">
        <f>Traduzioni!$G$486</f>
        <v>Calcolo per</v>
      </c>
      <c r="F2" s="1264"/>
      <c r="G2" s="1264"/>
      <c r="H2" s="1264"/>
      <c r="I2" s="1265" t="str">
        <f>Traduzioni!$G$505&amp;" "&amp;ANALYSIS!$B$19</f>
        <v xml:space="preserve">Profilo Previdenziale </v>
      </c>
      <c r="J2" s="1266"/>
      <c r="K2" s="1266"/>
      <c r="L2" s="1266"/>
      <c r="M2" s="1266"/>
      <c r="N2" s="1266"/>
      <c r="O2" s="1267"/>
    </row>
    <row r="3" spans="1:15" ht="14" x14ac:dyDescent="0.25">
      <c r="A3" s="111"/>
      <c r="E3" s="1256" t="str">
        <f>'RENDITE CLIENTE'!$A$2</f>
        <v>Calcolo effettuato da:</v>
      </c>
      <c r="F3" s="1257"/>
      <c r="G3" s="1257"/>
      <c r="H3" s="1257"/>
      <c r="I3" s="1257" t="str">
        <f>ANALYSIS!$B$3&amp;" - "&amp;'RENDITE CLIENTE'!$B$2</f>
        <v xml:space="preserve"> - NeoLife AG</v>
      </c>
      <c r="J3" s="1257"/>
      <c r="K3" s="1257"/>
      <c r="L3" s="1257"/>
      <c r="M3" s="1257"/>
      <c r="N3" s="1257"/>
      <c r="O3" s="1258"/>
    </row>
    <row r="4" spans="1:15" ht="14" x14ac:dyDescent="0.25">
      <c r="A4" s="111"/>
      <c r="E4" s="1256" t="str">
        <f>'RENDITE CLIENTE'!$A$3</f>
        <v>Parametri di calcolo:</v>
      </c>
      <c r="F4" s="1257"/>
      <c r="G4" s="1257"/>
      <c r="H4" s="1257"/>
      <c r="I4" s="1257" t="str">
        <f>'RENDITE CLIENTE'!$B$3&amp;" "&amp;ANALYSIS!$B$19</f>
        <v xml:space="preserve">Scala 44 AVS/AI/IPG + Info fornite da:  </v>
      </c>
      <c r="J4" s="1257"/>
      <c r="K4" s="1257"/>
      <c r="L4" s="1257"/>
      <c r="M4" s="1257"/>
      <c r="N4" s="1257"/>
      <c r="O4" s="1258"/>
    </row>
    <row r="5" spans="1:15" ht="14.5" thickBot="1" x14ac:dyDescent="0.3">
      <c r="A5" s="269"/>
      <c r="B5" s="350"/>
      <c r="C5" s="350"/>
      <c r="D5" s="350"/>
      <c r="E5" s="1259" t="str">
        <f>'RENDITE CLIENTE'!$A$4</f>
        <v>Calcolo del:</v>
      </c>
      <c r="F5" s="1260"/>
      <c r="G5" s="1260"/>
      <c r="H5" s="1260"/>
      <c r="I5" s="1261">
        <f ca="1">'RENDITE CLIENTE'!$B$4</f>
        <v>45680.292758449075</v>
      </c>
      <c r="J5" s="1261"/>
      <c r="K5" s="1261"/>
      <c r="L5" s="1261"/>
      <c r="M5" s="1261"/>
      <c r="N5" s="1261"/>
      <c r="O5" s="1262"/>
    </row>
    <row r="42" spans="1:15" ht="13" thickBot="1" x14ac:dyDescent="0.3"/>
    <row r="43" spans="1:15" ht="14" x14ac:dyDescent="0.25">
      <c r="A43" s="265"/>
      <c r="B43" s="349"/>
      <c r="C43" s="349"/>
      <c r="D43" s="349"/>
      <c r="E43" s="1263" t="str">
        <f>Traduzioni!$G$486</f>
        <v>Calcolo per</v>
      </c>
      <c r="F43" s="1264"/>
      <c r="G43" s="1264"/>
      <c r="H43" s="1264"/>
      <c r="I43" s="1265" t="str">
        <f>Traduzioni!$G$505&amp;" "&amp;ANALYSIS!$C$19</f>
        <v xml:space="preserve">Profilo Previdenziale </v>
      </c>
      <c r="J43" s="1266"/>
      <c r="K43" s="1266"/>
      <c r="L43" s="1266"/>
      <c r="M43" s="1266"/>
      <c r="N43" s="1266"/>
      <c r="O43" s="1267"/>
    </row>
    <row r="44" spans="1:15" ht="14" x14ac:dyDescent="0.25">
      <c r="A44" s="111"/>
      <c r="E44" s="1256" t="str">
        <f>'RENDITE CLIENTE'!$A$2</f>
        <v>Calcolo effettuato da:</v>
      </c>
      <c r="F44" s="1257"/>
      <c r="G44" s="1257"/>
      <c r="H44" s="1257"/>
      <c r="I44" s="1257" t="str">
        <f>ANALYSIS!$B$3&amp;" - "&amp;'RENDITE CLIENTE'!$B$2</f>
        <v xml:space="preserve"> - NeoLife AG</v>
      </c>
      <c r="J44" s="1257"/>
      <c r="K44" s="1257"/>
      <c r="L44" s="1257"/>
      <c r="M44" s="1257"/>
      <c r="N44" s="1257"/>
      <c r="O44" s="1258"/>
    </row>
    <row r="45" spans="1:15" ht="14" x14ac:dyDescent="0.25">
      <c r="A45" s="111"/>
      <c r="E45" s="1256" t="str">
        <f>'RENDITE CLIENTE'!$A$3</f>
        <v>Parametri di calcolo:</v>
      </c>
      <c r="F45" s="1257"/>
      <c r="G45" s="1257"/>
      <c r="H45" s="1257"/>
      <c r="I45" s="1257" t="str">
        <f>'RENDITE CLIENTE'!$B$3&amp;" "&amp;ANALYSIS!$B$19</f>
        <v xml:space="preserve">Scala 44 AVS/AI/IPG + Info fornite da:  </v>
      </c>
      <c r="J45" s="1257"/>
      <c r="K45" s="1257"/>
      <c r="L45" s="1257"/>
      <c r="M45" s="1257"/>
      <c r="N45" s="1257"/>
      <c r="O45" s="1258"/>
    </row>
    <row r="46" spans="1:15" ht="14.5" thickBot="1" x14ac:dyDescent="0.3">
      <c r="A46" s="269"/>
      <c r="B46" s="350"/>
      <c r="C46" s="350"/>
      <c r="D46" s="350"/>
      <c r="E46" s="1259" t="str">
        <f>'RENDITE CLIENTE'!$A$4</f>
        <v>Calcolo del:</v>
      </c>
      <c r="F46" s="1260"/>
      <c r="G46" s="1260"/>
      <c r="H46" s="1260"/>
      <c r="I46" s="1261">
        <f ca="1">'RENDITE CLIENTE'!$B$4</f>
        <v>45680.292758449075</v>
      </c>
      <c r="J46" s="1261"/>
      <c r="K46" s="1261"/>
      <c r="L46" s="1261"/>
      <c r="M46" s="1261"/>
      <c r="N46" s="1261"/>
      <c r="O46" s="1262"/>
    </row>
  </sheetData>
  <sheetProtection sheet="1" objects="1" scenarios="1"/>
  <mergeCells count="16">
    <mergeCell ref="E2:H2"/>
    <mergeCell ref="I2:O2"/>
    <mergeCell ref="E45:H45"/>
    <mergeCell ref="I45:O45"/>
    <mergeCell ref="E46:H46"/>
    <mergeCell ref="I46:O46"/>
    <mergeCell ref="E43:H43"/>
    <mergeCell ref="I43:O43"/>
    <mergeCell ref="E44:H44"/>
    <mergeCell ref="I44:O44"/>
    <mergeCell ref="E3:H3"/>
    <mergeCell ref="I3:O3"/>
    <mergeCell ref="E4:H4"/>
    <mergeCell ref="I4:O4"/>
    <mergeCell ref="E5:H5"/>
    <mergeCell ref="I5:O5"/>
  </mergeCells>
  <pageMargins left="0.7" right="0.7" top="0.75" bottom="0.75" header="0.3" footer="0.3"/>
  <pageSetup orientation="landscape" r:id="rId1"/>
  <rowBreaks count="1" manualBreakCount="1">
    <brk id="40"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0407E-08CF-4B2D-9BA9-92E605CB0013}">
  <dimension ref="A1:G20"/>
  <sheetViews>
    <sheetView showGridLines="0" showRowColHeaders="0" workbookViewId="0">
      <selection activeCell="C1" sqref="C1:G1"/>
    </sheetView>
  </sheetViews>
  <sheetFormatPr defaultRowHeight="12.5" x14ac:dyDescent="0.25"/>
  <cols>
    <col min="1" max="1" width="29.453125" customWidth="1"/>
    <col min="2" max="7" width="15.6328125" customWidth="1"/>
  </cols>
  <sheetData>
    <row r="1" spans="1:7" ht="14" x14ac:dyDescent="0.25">
      <c r="A1" s="1293"/>
      <c r="B1" s="551" t="str">
        <f>Traduzioni!$G$486</f>
        <v>Calcolo per</v>
      </c>
      <c r="C1" s="1264" t="str">
        <f>Traduzioni!G617&amp;" "&amp;ANALYSIS!B19</f>
        <v xml:space="preserve">Riepilogo Fabbisogno &amp; Proposte di soluzione </v>
      </c>
      <c r="D1" s="1264"/>
      <c r="E1" s="1264"/>
      <c r="F1" s="1264"/>
      <c r="G1" s="1268"/>
    </row>
    <row r="2" spans="1:7" ht="14" x14ac:dyDescent="0.25">
      <c r="A2" s="1294"/>
      <c r="B2" s="552" t="str">
        <f>'RENDITE CLIENTE'!$A$2</f>
        <v>Calcolo effettuato da:</v>
      </c>
      <c r="C2" s="1257" t="str">
        <f>ANALYSIS!$B$3&amp;" - "&amp;'RENDITE CLIENTE'!$B$2</f>
        <v xml:space="preserve"> - NeoLife AG</v>
      </c>
      <c r="D2" s="1257"/>
      <c r="E2" s="1257"/>
      <c r="F2" s="1257"/>
      <c r="G2" s="1258"/>
    </row>
    <row r="3" spans="1:7" ht="14" x14ac:dyDescent="0.25">
      <c r="A3" s="1294"/>
      <c r="B3" s="552" t="str">
        <f>'RENDITE CLIENTE'!$A$3</f>
        <v>Parametri di calcolo:</v>
      </c>
      <c r="C3" s="1257" t="str">
        <f>'RENDITE CLIENTE'!$B$3&amp;" "&amp;ANALYSIS!$B$19</f>
        <v xml:space="preserve">Scala 44 AVS/AI/IPG + Info fornite da:  </v>
      </c>
      <c r="D3" s="1257"/>
      <c r="E3" s="1257"/>
      <c r="F3" s="1257"/>
      <c r="G3" s="1258"/>
    </row>
    <row r="4" spans="1:7" ht="14.5" thickBot="1" x14ac:dyDescent="0.3">
      <c r="A4" s="1295"/>
      <c r="B4" s="553" t="str">
        <f>'RENDITE CLIENTE'!$A$4</f>
        <v>Calcolo del:</v>
      </c>
      <c r="C4" s="1261">
        <f ca="1">'RENDITE CLIENTE'!$B$4</f>
        <v>45680.292758449075</v>
      </c>
      <c r="D4" s="1261"/>
      <c r="E4" s="1261"/>
      <c r="F4" s="1261"/>
      <c r="G4" s="1262"/>
    </row>
    <row r="5" spans="1:7" ht="13" thickBot="1" x14ac:dyDescent="0.3"/>
    <row r="6" spans="1:7" s="42" customFormat="1" ht="30" customHeight="1" x14ac:dyDescent="0.3">
      <c r="A6" s="1287" t="str">
        <f>Traduzioni!G617</f>
        <v>Riepilogo Fabbisogno &amp; Proposte di soluzione</v>
      </c>
      <c r="B6" s="1288"/>
      <c r="C6" s="1289"/>
      <c r="D6" s="588" t="str">
        <f>Traduzioni!$G$618&amp;" 1"</f>
        <v>Proposta 1</v>
      </c>
      <c r="E6" s="588" t="str">
        <f>Traduzioni!$G$618&amp;" 2"</f>
        <v>Proposta 2</v>
      </c>
      <c r="F6" s="588" t="str">
        <f>Traduzioni!$G$618&amp;" 3"</f>
        <v>Proposta 3</v>
      </c>
      <c r="G6" s="588" t="str">
        <f>Traduzioni!$G$618&amp;" 4"</f>
        <v>Proposta 4</v>
      </c>
    </row>
    <row r="7" spans="1:7" ht="30" customHeight="1" thickBot="1" x14ac:dyDescent="0.3">
      <c r="A7" s="1290"/>
      <c r="B7" s="1291"/>
      <c r="C7" s="1292"/>
      <c r="D7" s="589" t="s">
        <v>3506</v>
      </c>
      <c r="E7" s="589" t="s">
        <v>3499</v>
      </c>
      <c r="F7" s="589" t="s">
        <v>3500</v>
      </c>
      <c r="G7" s="589" t="s">
        <v>3501</v>
      </c>
    </row>
    <row r="8" spans="1:7" ht="30" customHeight="1" thickBot="1" x14ac:dyDescent="0.3">
      <c r="A8" s="569" t="str">
        <f>Traduzioni!G620</f>
        <v>Versamenti fino alla pensione</v>
      </c>
      <c r="B8" s="570">
        <f>ANALYSIS!B83</f>
        <v>0</v>
      </c>
      <c r="C8" s="573" t="str">
        <f>" "&amp;Traduzioni!G621</f>
        <v xml:space="preserve"> al mese</v>
      </c>
      <c r="D8" s="1301">
        <f ca="1">B8*12*'Parametri generali'!B8</f>
        <v>0</v>
      </c>
      <c r="E8" s="1301"/>
      <c r="F8" s="1301"/>
      <c r="G8" s="1302"/>
    </row>
    <row r="9" spans="1:7" ht="30" customHeight="1" x14ac:dyDescent="0.3">
      <c r="A9" s="571" t="str">
        <f>Traduzioni!G623</f>
        <v>Situazione di vita</v>
      </c>
      <c r="B9" s="572" t="str">
        <f>Traduzioni!G631</f>
        <v>Rischio</v>
      </c>
      <c r="C9" s="574" t="str">
        <f>Traduzioni!G640</f>
        <v>Fabbisogno</v>
      </c>
      <c r="D9" s="579" t="str">
        <f>D7</f>
        <v>Raiffeisen</v>
      </c>
      <c r="E9" s="579" t="str">
        <f>E7</f>
        <v>Groupe Mutuel</v>
      </c>
      <c r="F9" s="579" t="str">
        <f>F7</f>
        <v>Swiss Life</v>
      </c>
      <c r="G9" s="579" t="str">
        <f>G7</f>
        <v>Generali</v>
      </c>
    </row>
    <row r="10" spans="1:7" ht="30" customHeight="1" x14ac:dyDescent="0.25">
      <c r="A10" s="568" t="str">
        <f>Traduzioni!G624</f>
        <v>Sicurezza per la famiglia</v>
      </c>
      <c r="B10" s="567" t="str">
        <f>Traduzioni!G632</f>
        <v>Gap in caso di morte</v>
      </c>
      <c r="C10" s="575" t="s">
        <v>3554</v>
      </c>
      <c r="D10" s="580">
        <v>200000</v>
      </c>
      <c r="E10" s="580">
        <v>200000</v>
      </c>
      <c r="F10" s="580">
        <v>200000</v>
      </c>
      <c r="G10" s="580">
        <v>200000</v>
      </c>
    </row>
    <row r="11" spans="1:7" ht="30" customHeight="1" x14ac:dyDescent="0.25">
      <c r="A11" s="568" t="str">
        <f>Traduzioni!G625</f>
        <v>Sicurezza finanziaria in tutte le circostanze della vita</v>
      </c>
      <c r="B11" s="567" t="str">
        <f>Traduzioni!G633</f>
        <v>Gap in caso di invalidità (malattia)</v>
      </c>
      <c r="C11" s="576">
        <v>12000</v>
      </c>
      <c r="D11" s="581">
        <v>0</v>
      </c>
      <c r="E11" s="581" t="s">
        <v>3693</v>
      </c>
      <c r="F11" s="581" t="s">
        <v>3693</v>
      </c>
      <c r="G11" s="581" t="s">
        <v>3693</v>
      </c>
    </row>
    <row r="12" spans="1:7" ht="15" customHeight="1" x14ac:dyDescent="0.25">
      <c r="A12" s="1304" t="str">
        <f>Traduzioni!G626</f>
        <v>Libertà finanziaria in pensione</v>
      </c>
      <c r="B12" s="1299" t="str">
        <f>Traduzioni!G634</f>
        <v>Capitale alla pensione</v>
      </c>
      <c r="C12" s="1300">
        <f ca="1">PENS.!C26</f>
        <v>0</v>
      </c>
      <c r="D12" s="582" t="s">
        <v>3694</v>
      </c>
      <c r="E12" s="582" t="s">
        <v>3694</v>
      </c>
      <c r="F12" s="582" t="s">
        <v>3694</v>
      </c>
      <c r="G12" s="582" t="s">
        <v>3698</v>
      </c>
    </row>
    <row r="13" spans="1:7" ht="15" customHeight="1" x14ac:dyDescent="0.25">
      <c r="A13" s="1304"/>
      <c r="B13" s="1299"/>
      <c r="C13" s="1300"/>
      <c r="D13" s="583" t="s">
        <v>3695</v>
      </c>
      <c r="E13" s="583" t="s">
        <v>3695</v>
      </c>
      <c r="F13" s="583" t="s">
        <v>3695</v>
      </c>
      <c r="G13" s="583" t="s">
        <v>3699</v>
      </c>
    </row>
    <row r="14" spans="1:7" ht="15" customHeight="1" x14ac:dyDescent="0.25">
      <c r="A14" s="1304"/>
      <c r="B14" s="1299"/>
      <c r="C14" s="1300"/>
      <c r="D14" s="584" t="s">
        <v>3697</v>
      </c>
      <c r="E14" s="584" t="s">
        <v>3697</v>
      </c>
      <c r="F14" s="584" t="s">
        <v>3697</v>
      </c>
      <c r="G14" s="584" t="s">
        <v>3696</v>
      </c>
    </row>
    <row r="15" spans="1:7" ht="45" customHeight="1" x14ac:dyDescent="0.25">
      <c r="A15" s="1304"/>
      <c r="B15" s="567" t="str">
        <f>Traduzioni!G635</f>
        <v>Garanzia del raggiungimento del capitale</v>
      </c>
      <c r="C15" s="576">
        <f ca="1">C12</f>
        <v>0</v>
      </c>
      <c r="D15" s="585">
        <v>0</v>
      </c>
      <c r="E15" s="585">
        <v>65000</v>
      </c>
      <c r="F15" s="585">
        <v>60000</v>
      </c>
      <c r="G15" s="585">
        <v>0</v>
      </c>
    </row>
    <row r="16" spans="1:7" ht="30" customHeight="1" x14ac:dyDescent="0.25">
      <c r="A16" s="1304" t="str">
        <f>Traduzioni!G627</f>
        <v>Costruire e accrescere il patrimonio</v>
      </c>
      <c r="B16" s="1299" t="str">
        <f>Traduzioni!G636</f>
        <v>Performance del fondo negli ultimi 5 anni</v>
      </c>
      <c r="C16" s="1303"/>
      <c r="D16" s="586">
        <v>0.02</v>
      </c>
      <c r="E16" s="586">
        <v>0.04</v>
      </c>
      <c r="F16" s="586">
        <v>0.05</v>
      </c>
      <c r="G16" s="586">
        <v>7.0000000000000007E-2</v>
      </c>
    </row>
    <row r="17" spans="1:7" ht="30" customHeight="1" x14ac:dyDescent="0.25">
      <c r="A17" s="1304"/>
      <c r="B17" s="1299" t="str">
        <f>Traduzioni!G673</f>
        <v>Costi totali Polizza/conto + TER fondo</v>
      </c>
      <c r="C17" s="1303"/>
      <c r="D17" s="587">
        <v>1.6E-2</v>
      </c>
      <c r="E17" s="587">
        <v>1.44E-2</v>
      </c>
      <c r="F17" s="587">
        <v>1.4200000000000001E-2</v>
      </c>
      <c r="G17" s="587">
        <v>1.9E-2</v>
      </c>
    </row>
    <row r="18" spans="1:7" ht="30" customHeight="1" x14ac:dyDescent="0.25">
      <c r="A18" s="568" t="str">
        <f>Traduzioni!G628</f>
        <v>Risparmiare sulle tasse</v>
      </c>
      <c r="B18" s="566" t="str">
        <f>Traduzioni!G638</f>
        <v>Ottimizzare le spese</v>
      </c>
      <c r="C18" s="577" t="s">
        <v>3569</v>
      </c>
      <c r="D18" s="580">
        <f>$B8*12*25/100</f>
        <v>0</v>
      </c>
      <c r="E18" s="580">
        <f t="shared" ref="E18:G18" si="0">$B8*12*25/100</f>
        <v>0</v>
      </c>
      <c r="F18" s="580">
        <f t="shared" si="0"/>
        <v>0</v>
      </c>
      <c r="G18" s="580">
        <f t="shared" si="0"/>
        <v>0</v>
      </c>
    </row>
    <row r="19" spans="1:7" ht="45" customHeight="1" x14ac:dyDescent="0.25">
      <c r="A19" s="568" t="str">
        <f>Traduzioni!G629</f>
        <v>Acquistare e mantenere una casa di proprietà</v>
      </c>
      <c r="B19" s="567" t="str">
        <f>Traduzioni!G639</f>
        <v>Prelievo di capitale per la casa di proprietà</v>
      </c>
      <c r="C19" s="578" t="s">
        <v>3569</v>
      </c>
      <c r="D19" s="580">
        <f>B8*12*10</f>
        <v>0</v>
      </c>
      <c r="E19" s="580">
        <v>15000</v>
      </c>
      <c r="F19" s="580">
        <v>20000</v>
      </c>
      <c r="G19" s="580">
        <v>20000</v>
      </c>
    </row>
    <row r="20" spans="1:7" ht="30" customHeight="1" thickBot="1" x14ac:dyDescent="0.3">
      <c r="A20" s="1296" t="str">
        <f>Traduzioni!G630</f>
        <v>Flessibilità (viaggi, formazione, ecc.)</v>
      </c>
      <c r="B20" s="1297"/>
      <c r="C20" s="1298"/>
      <c r="D20" s="590" t="s">
        <v>3657</v>
      </c>
      <c r="E20" s="590" t="s">
        <v>3660</v>
      </c>
      <c r="F20" s="590" t="s">
        <v>3662</v>
      </c>
      <c r="G20" s="590" t="s">
        <v>3659</v>
      </c>
    </row>
  </sheetData>
  <sheetProtection sheet="1" objects="1" scenarios="1"/>
  <mergeCells count="14">
    <mergeCell ref="A20:C20"/>
    <mergeCell ref="B12:B14"/>
    <mergeCell ref="C12:C14"/>
    <mergeCell ref="D8:G8"/>
    <mergeCell ref="B16:C16"/>
    <mergeCell ref="A12:A15"/>
    <mergeCell ref="A16:A17"/>
    <mergeCell ref="B17:C17"/>
    <mergeCell ref="A6:C7"/>
    <mergeCell ref="A1:A4"/>
    <mergeCell ref="C1:G1"/>
    <mergeCell ref="C2:G2"/>
    <mergeCell ref="C3:G3"/>
    <mergeCell ref="C4:G4"/>
  </mergeCells>
  <pageMargins left="0.7" right="0.7" top="0.75" bottom="0.75" header="0.3" footer="0.3"/>
  <pageSetup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9B69069-6B95-4578-9DC3-2AAA70300B1D}">
          <x14:formula1>
            <xm:f>Traduzioni!$G$647:$G$658</xm:f>
          </x14:formula1>
          <xm:sqref>D7:G7</xm:sqref>
        </x14:dataValidation>
        <x14:dataValidation type="list" allowBlank="1" showInputMessage="1" showErrorMessage="1" xr:uid="{B7343837-42C7-431E-BBDA-D46BCC35BB57}">
          <x14:formula1>
            <xm:f>Traduzioni!$G$664:$G$668</xm:f>
          </x14:formula1>
          <xm:sqref>D6:G6</xm:sqref>
        </x14:dataValidation>
        <x14:dataValidation type="list" allowBlank="1" showInputMessage="1" showErrorMessage="1" xr:uid="{47526602-4631-4EA6-A664-65CCA56674F8}">
          <x14:formula1>
            <xm:f>Traduzioni!$G$671:$G$673</xm:f>
          </x14:formula1>
          <xm:sqref>B17:C17</xm:sqref>
        </x14:dataValidation>
        <x14:dataValidation type="list" allowBlank="1" showInputMessage="1" showErrorMessage="1" xr:uid="{D064B272-1DA4-4B62-80F9-0E270280C24F}">
          <x14:formula1>
            <xm:f>Traduzioni!$G$675:$G$690</xm:f>
          </x14:formula1>
          <xm:sqref>C18:C19</xm:sqref>
        </x14:dataValidation>
        <x14:dataValidation type="list" allowBlank="1" showInputMessage="1" showErrorMessage="1" xr:uid="{E2DF6678-7C49-42BE-B3CE-2FE0CFFC5C9A}">
          <x14:formula1>
            <xm:f>Traduzioni!$G$693:$G$698</xm:f>
          </x14:formula1>
          <xm:sqref>D20:G20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0F0B3-DD35-45C3-8841-DDF8D6E48BE7}">
  <sheetPr codeName="Foglio16"/>
  <dimension ref="A1:L37"/>
  <sheetViews>
    <sheetView showGridLines="0" showRowColHeaders="0" zoomScale="110" zoomScaleNormal="110" workbookViewId="0">
      <selection activeCell="C26" sqref="C26:D26"/>
    </sheetView>
  </sheetViews>
  <sheetFormatPr defaultColWidth="11.453125" defaultRowHeight="12.5" x14ac:dyDescent="0.25"/>
  <cols>
    <col min="1" max="1" width="22.36328125" customWidth="1"/>
    <col min="2" max="2" width="20.7265625" customWidth="1"/>
    <col min="3" max="3" width="21.7265625" customWidth="1"/>
    <col min="4" max="4" width="22.1796875" customWidth="1"/>
    <col min="5" max="253" width="9.1796875" customWidth="1"/>
  </cols>
  <sheetData>
    <row r="1" spans="1:12" ht="12.5" customHeight="1" x14ac:dyDescent="0.25">
      <c r="A1" s="265"/>
      <c r="B1" s="1263" t="str">
        <f>Traduzioni!G260</f>
        <v>Previdenza per la Vecchiaia</v>
      </c>
      <c r="C1" s="1264"/>
      <c r="D1" s="1268"/>
      <c r="E1" s="386"/>
      <c r="F1" s="386"/>
      <c r="G1" s="386"/>
      <c r="H1" s="386"/>
      <c r="I1" s="386"/>
      <c r="J1" s="386"/>
      <c r="K1" s="386"/>
      <c r="L1" s="354"/>
    </row>
    <row r="2" spans="1:12" ht="12.5" customHeight="1" x14ac:dyDescent="0.25">
      <c r="A2" s="111"/>
      <c r="B2" s="1256" t="str">
        <f>'RENDITE CLIENTE'!$A$2&amp;" "&amp;ANALYSIS!$B$3&amp;" - "&amp;'RENDITE CLIENTE'!$B$2</f>
        <v>Calcolo effettuato da:  - NeoLife AG</v>
      </c>
      <c r="C2" s="1257"/>
      <c r="D2" s="1258"/>
      <c r="E2" s="387"/>
      <c r="F2" s="387"/>
      <c r="G2" s="387"/>
      <c r="H2" s="387"/>
      <c r="I2" s="387"/>
      <c r="J2" s="387"/>
      <c r="K2" s="387"/>
      <c r="L2" s="354"/>
    </row>
    <row r="3" spans="1:12" ht="12.5" customHeight="1" x14ac:dyDescent="0.25">
      <c r="A3" s="111"/>
      <c r="B3" s="1317" t="str">
        <f>'RENDITE CLIENTE'!$A$3&amp;" "&amp;'RENDITE CLIENTE'!$B$3&amp;" "&amp;ANALYSIS!$B$19</f>
        <v xml:space="preserve">Parametri di calcolo: Scala 44 AVS/AI/IPG + Info fornite da:  </v>
      </c>
      <c r="C3" s="1318"/>
      <c r="D3" s="1319"/>
      <c r="E3" s="387"/>
      <c r="F3" s="388"/>
      <c r="G3" s="388"/>
      <c r="H3" s="388"/>
      <c r="I3" s="388"/>
      <c r="J3" s="388"/>
      <c r="K3" s="388"/>
      <c r="L3" s="354"/>
    </row>
    <row r="4" spans="1:12" ht="12.5" customHeight="1" thickBot="1" x14ac:dyDescent="0.3">
      <c r="A4" s="269"/>
      <c r="B4" s="367" t="str">
        <f>'RENDITE CLIENTE'!$A$4</f>
        <v>Calcolo del:</v>
      </c>
      <c r="C4" s="390">
        <f ca="1">'RENDITE CLIENTE'!$B$4</f>
        <v>45680.292758449075</v>
      </c>
      <c r="D4" s="391"/>
      <c r="E4" s="387"/>
      <c r="G4" s="389"/>
      <c r="H4" s="389"/>
      <c r="I4" s="389"/>
      <c r="J4" s="389"/>
      <c r="K4" s="389"/>
      <c r="L4" s="355"/>
    </row>
    <row r="5" spans="1:12" ht="12.5" customHeight="1" thickBot="1" x14ac:dyDescent="0.3"/>
    <row r="6" spans="1:12" ht="12.5" customHeight="1" thickBot="1" x14ac:dyDescent="0.3">
      <c r="A6" s="1320" t="str">
        <f>Traduzioni!G261</f>
        <v>Calcolo previdenziale per:</v>
      </c>
      <c r="B6" s="1321"/>
      <c r="C6" s="392">
        <f>'PRIV-VALID.'!B10</f>
        <v>0</v>
      </c>
      <c r="D6" s="393" t="str">
        <f>IF('PRIV-VALID.'!B65=0,"",'PRIV-VALID.'!B65)</f>
        <v/>
      </c>
    </row>
    <row r="7" spans="1:12" ht="12.5" customHeight="1" x14ac:dyDescent="0.25">
      <c r="A7" s="1323" t="str">
        <f>Traduzioni!G262</f>
        <v>Eta'</v>
      </c>
      <c r="B7" s="1324"/>
      <c r="C7" s="157">
        <f ca="1">'PRIV-VALID.'!B11</f>
        <v>125</v>
      </c>
      <c r="D7" s="18" t="str">
        <f>IF('PRIV-VALID.'!B66=0,"",'PRIV-VALID.'!B66)</f>
        <v/>
      </c>
    </row>
    <row r="8" spans="1:12" ht="12.5" customHeight="1" x14ac:dyDescent="0.25">
      <c r="A8" s="1325" t="str">
        <f>Traduzioni!G263</f>
        <v>Anni Contribuzione</v>
      </c>
      <c r="B8" s="1326"/>
      <c r="C8" s="157">
        <f>'PRIV-VALID.'!B27</f>
        <v>44</v>
      </c>
      <c r="D8" s="18" t="str">
        <f>IF('PRIV-VALID.'!B82=0,"",'PRIV-VALID.'!B82)</f>
        <v/>
      </c>
    </row>
    <row r="9" spans="1:12" x14ac:dyDescent="0.25">
      <c r="A9" s="1325" t="str">
        <f>Traduzioni!G264</f>
        <v>Anni al pensionamento</v>
      </c>
      <c r="B9" s="1326"/>
      <c r="C9" s="157">
        <f ca="1">65-C7</f>
        <v>-60</v>
      </c>
      <c r="D9" s="131" t="str">
        <f>IF('PRIV-VALID.'!B66=0,"",65-D7)</f>
        <v/>
      </c>
    </row>
    <row r="10" spans="1:12" ht="13" x14ac:dyDescent="0.3">
      <c r="A10" s="1305"/>
      <c r="B10" s="1306"/>
      <c r="C10" s="260"/>
      <c r="D10" s="132"/>
    </row>
    <row r="11" spans="1:12" x14ac:dyDescent="0.25">
      <c r="A11" s="1325" t="str">
        <f>Traduzioni!G265</f>
        <v>Reddito Annuo Desiderato (fabbisogno)</v>
      </c>
      <c r="B11" s="1326"/>
      <c r="C11" s="261">
        <f>'PRIV-VALID.'!B15</f>
        <v>0</v>
      </c>
      <c r="D11" s="133" t="str">
        <f>IF('PRIV-VALID.'!B66=0,"",'PRIV-VALID.'!B70)</f>
        <v/>
      </c>
    </row>
    <row r="12" spans="1:12" x14ac:dyDescent="0.25">
      <c r="A12" s="1325" t="str">
        <f>Traduzioni!G266</f>
        <v>Rendita annua AVS attesa</v>
      </c>
      <c r="B12" s="1326"/>
      <c r="C12" s="261">
        <f>'PRIV-VALID.'!B26*13</f>
        <v>16380</v>
      </c>
      <c r="D12" s="133" t="str">
        <f>IF('PRIV-VALID.'!B66=0,"",'PRIV-VALID.'!B81*13)</f>
        <v/>
      </c>
    </row>
    <row r="13" spans="1:12" x14ac:dyDescent="0.25">
      <c r="A13" s="1325" t="str">
        <f>Traduzioni!G267</f>
        <v>Rendita annua LPP attesa</v>
      </c>
      <c r="B13" s="1326"/>
      <c r="C13" s="261">
        <f>'PRIV-VALID.'!B29</f>
        <v>0</v>
      </c>
      <c r="D13" s="133">
        <f>IF('PRIV-VALID.'!B65="","",IF('PRIV-VALID.'!B84=0,0,'PRIV-VALID.'!B84))</f>
        <v>0</v>
      </c>
    </row>
    <row r="14" spans="1:12" ht="13" x14ac:dyDescent="0.3">
      <c r="A14" s="1325" t="str">
        <f>Traduzioni!G268</f>
        <v>Totale rendita di pensione attesa</v>
      </c>
      <c r="B14" s="1326"/>
      <c r="C14" s="262">
        <f ca="1">C12+C13*'calcoli Cliente'!B55</f>
        <v>16380</v>
      </c>
      <c r="D14" s="22" t="str">
        <f>IF('PRIV-VALID.'!B66=0,"",D12+D13*'calcoli Cliente'!B55)</f>
        <v/>
      </c>
    </row>
    <row r="15" spans="1:12" x14ac:dyDescent="0.25">
      <c r="A15" s="1305"/>
      <c r="B15" s="1306"/>
      <c r="C15" s="158"/>
      <c r="D15" s="134"/>
    </row>
    <row r="16" spans="1:12" ht="13.5" thickBot="1" x14ac:dyDescent="0.35">
      <c r="A16" s="1307" t="str">
        <f>Traduzioni!G269</f>
        <v>Reddito Annuo Mancante</v>
      </c>
      <c r="B16" s="1308"/>
      <c r="C16" s="160">
        <f ca="1">IF(C11-C14&gt;0,C11-C14*'calcoli Cliente'!B55,0)</f>
        <v>0</v>
      </c>
      <c r="D16" s="25">
        <f>IF('PRIV-VALID.'!B66=0,0,IF(D11-D14&lt;0,0,D11-D14*'calcoli Cliente'!B55))</f>
        <v>0</v>
      </c>
    </row>
    <row r="17" spans="1:4" ht="13.5" thickBot="1" x14ac:dyDescent="0.35">
      <c r="A17" s="26"/>
      <c r="B17" s="26"/>
      <c r="C17" s="27"/>
      <c r="D17" s="28"/>
    </row>
    <row r="18" spans="1:4" ht="13" x14ac:dyDescent="0.3">
      <c r="A18" s="29" t="str">
        <f>Traduzioni!G270</f>
        <v>Cosa fareste se da domani dovessero mancarvi</v>
      </c>
      <c r="B18" s="384"/>
      <c r="C18" s="30">
        <f ca="1">(C16+D16)/12</f>
        <v>0</v>
      </c>
      <c r="D18" s="31" t="str">
        <f>Traduzioni!G272</f>
        <v>al mese?</v>
      </c>
    </row>
    <row r="19" spans="1:4" ht="13" thickBot="1" x14ac:dyDescent="0.3">
      <c r="A19" s="32" t="str">
        <f>Traduzioni!G271</f>
        <v>Questo e' esattamente quello che accadra' se non fate qualcosa per migliorare i vostri diritti previdenziali!</v>
      </c>
      <c r="B19" s="385"/>
      <c r="C19" s="33"/>
      <c r="D19" s="34"/>
    </row>
    <row r="21" spans="1:4" ht="13" x14ac:dyDescent="0.3">
      <c r="A21" s="35" t="str">
        <f>Traduzioni!G273</f>
        <v>Per mantenere la qualita' di vita attuale, necessitate entro il pensionamento:</v>
      </c>
      <c r="B21" s="35"/>
      <c r="C21" s="36"/>
      <c r="D21" s="14"/>
    </row>
    <row r="22" spans="1:4" x14ac:dyDescent="0.25">
      <c r="A22" s="26"/>
      <c r="B22" s="26"/>
      <c r="C22" s="27"/>
    </row>
    <row r="23" spans="1:4" x14ac:dyDescent="0.25">
      <c r="A23" t="str">
        <f>Traduzioni!G274</f>
        <v>Reddito annuo mancante:</v>
      </c>
      <c r="C23" s="37">
        <f ca="1">C16</f>
        <v>0</v>
      </c>
      <c r="D23" s="38">
        <f>D16</f>
        <v>0</v>
      </c>
    </row>
    <row r="24" spans="1:4" ht="13" thickBot="1" x14ac:dyDescent="0.3">
      <c r="A24" t="str">
        <f>Traduzioni!G275</f>
        <v>Impegni dal liquidare entro il pensionamento:</v>
      </c>
      <c r="C24" s="39">
        <f>'PRIV-VALID.'!B17</f>
        <v>0</v>
      </c>
      <c r="D24" s="40"/>
    </row>
    <row r="25" spans="1:4" ht="13" thickBot="1" x14ac:dyDescent="0.3">
      <c r="A25" s="26"/>
      <c r="B25" s="26"/>
      <c r="C25" s="41"/>
    </row>
    <row r="26" spans="1:4" ht="18.75" customHeight="1" thickBot="1" x14ac:dyDescent="0.45">
      <c r="A26" s="15" t="str">
        <f>Traduzioni!G276</f>
        <v>Totale necessario:</v>
      </c>
      <c r="B26" s="15"/>
      <c r="C26" s="1322">
        <f ca="1">(C23+D23)/6.8*100+C24</f>
        <v>0</v>
      </c>
      <c r="D26" s="1322"/>
    </row>
    <row r="27" spans="1:4" x14ac:dyDescent="0.25">
      <c r="A27" s="26"/>
      <c r="B27" s="26"/>
      <c r="C27" s="41"/>
    </row>
    <row r="28" spans="1:4" ht="287.25" customHeight="1" x14ac:dyDescent="0.25">
      <c r="A28" s="1309" t="e" vm="4">
        <v>#VALUE!</v>
      </c>
      <c r="B28" s="1309"/>
      <c r="C28" s="1309"/>
      <c r="D28" s="1309"/>
    </row>
    <row r="29" spans="1:4" ht="13" thickBot="1" x14ac:dyDescent="0.3"/>
    <row r="30" spans="1:4" ht="12.5" customHeight="1" x14ac:dyDescent="0.25">
      <c r="A30" s="1313" t="str">
        <f>Traduzioni!G277</f>
        <v>Quanto dovreste risparmiare mensilmente per raggiungere entro il pensionamento il capitale di:</v>
      </c>
      <c r="B30" s="1314"/>
      <c r="C30" s="44"/>
      <c r="D30" s="45"/>
    </row>
    <row r="31" spans="1:4" ht="13.5" thickBot="1" x14ac:dyDescent="0.35">
      <c r="A31" s="1315"/>
      <c r="B31" s="1316"/>
      <c r="C31" s="263">
        <f ca="1">C26</f>
        <v>0</v>
      </c>
      <c r="D31" s="264"/>
    </row>
    <row r="32" spans="1:4" x14ac:dyDescent="0.25">
      <c r="A32" s="265" t="str">
        <f>Traduzioni!G278</f>
        <v>Se si comincia a 25 anni</v>
      </c>
      <c r="B32" s="349"/>
      <c r="C32" s="266">
        <f ca="1">94/180502*C26</f>
        <v>0</v>
      </c>
      <c r="D32" s="267" t="str">
        <f>Traduzioni!G282</f>
        <v>Al 6% di interesse</v>
      </c>
    </row>
    <row r="33" spans="1:4" x14ac:dyDescent="0.25">
      <c r="A33" s="111" t="str">
        <f>Traduzioni!G279</f>
        <v>Se si comincia a 35 anni</v>
      </c>
      <c r="C33" s="46">
        <f ca="1">184/180502*C26</f>
        <v>0</v>
      </c>
      <c r="D33" s="268" t="str">
        <f>Traduzioni!G283</f>
        <v>Al 6% di interesse</v>
      </c>
    </row>
    <row r="34" spans="1:4" x14ac:dyDescent="0.25">
      <c r="A34" s="111" t="str">
        <f>Traduzioni!G280</f>
        <v>Se si comincia a 45 anni</v>
      </c>
      <c r="C34" s="46">
        <f ca="1">396/180502*C26</f>
        <v>0</v>
      </c>
      <c r="D34" s="268" t="str">
        <f>Traduzioni!G284</f>
        <v>Al 6% di interesse</v>
      </c>
    </row>
    <row r="35" spans="1:4" ht="13" thickBot="1" x14ac:dyDescent="0.3">
      <c r="A35" s="269" t="str">
        <f>Traduzioni!G281</f>
        <v>Se si comincia a 55 anni</v>
      </c>
      <c r="B35" s="350"/>
      <c r="C35" s="270">
        <f ca="1">1106/180502*C26</f>
        <v>0</v>
      </c>
      <c r="D35" s="271" t="str">
        <f>Traduzioni!G285</f>
        <v>Al 6% di interesse</v>
      </c>
    </row>
    <row r="36" spans="1:4" ht="4.5" customHeight="1" thickBot="1" x14ac:dyDescent="0.3"/>
    <row r="37" spans="1:4" ht="27.5" customHeight="1" thickBot="1" x14ac:dyDescent="0.3">
      <c r="A37" s="1310" t="str">
        <f>Traduzioni!G286</f>
        <v>E' quindi piu' che mai importante pensare in tempo a garantirsi privatamente un capitale che possa permetterci di far fronte alla terza parte della nostra vita!</v>
      </c>
      <c r="B37" s="1311"/>
      <c r="C37" s="1311"/>
      <c r="D37" s="1312"/>
    </row>
  </sheetData>
  <sheetProtection sheet="1" selectLockedCells="1"/>
  <mergeCells count="18">
    <mergeCell ref="B1:D1"/>
    <mergeCell ref="B2:D2"/>
    <mergeCell ref="B3:D3"/>
    <mergeCell ref="A6:B6"/>
    <mergeCell ref="C26:D26"/>
    <mergeCell ref="A7:B7"/>
    <mergeCell ref="A8:B8"/>
    <mergeCell ref="A9:B9"/>
    <mergeCell ref="A10:B10"/>
    <mergeCell ref="A11:B11"/>
    <mergeCell ref="A12:B12"/>
    <mergeCell ref="A13:B13"/>
    <mergeCell ref="A14:B14"/>
    <mergeCell ref="A15:B15"/>
    <mergeCell ref="A16:B16"/>
    <mergeCell ref="A28:D28"/>
    <mergeCell ref="A37:D37"/>
    <mergeCell ref="A30:B31"/>
  </mergeCells>
  <pageMargins left="0.78740157480314965" right="0" top="0.78740157480314965" bottom="0" header="0.51181102362204722" footer="0.51181102362204722"/>
  <pageSetup paperSize="9" firstPageNumber="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FA716-14B9-4B97-A19C-7D431C7B3F86}">
  <sheetPr codeName="Foglio17"/>
  <dimension ref="A1:F103"/>
  <sheetViews>
    <sheetView showGridLines="0" showRowColHeaders="0" zoomScale="110" zoomScaleNormal="110" zoomScaleSheetLayoutView="90" workbookViewId="0">
      <selection activeCell="C1" sqref="C1:E1"/>
    </sheetView>
  </sheetViews>
  <sheetFormatPr defaultColWidth="12.1796875" defaultRowHeight="15.5" x14ac:dyDescent="0.35"/>
  <cols>
    <col min="1" max="1" width="11.6328125" customWidth="1"/>
    <col min="2" max="2" width="16" style="1" customWidth="1"/>
    <col min="3" max="3" width="21.1796875" style="1" customWidth="1"/>
    <col min="4" max="4" width="12.81640625" style="1" customWidth="1"/>
    <col min="5" max="5" width="17" style="1" customWidth="1"/>
    <col min="6" max="16384" width="12.1796875" style="1"/>
  </cols>
  <sheetData>
    <row r="1" spans="1:5" x14ac:dyDescent="0.35">
      <c r="A1" s="394"/>
      <c r="B1" s="140"/>
      <c r="C1" s="1327" t="str">
        <f>Traduzioni!G323&amp;" " &amp;ANALYSIS!B19</f>
        <v xml:space="preserve">PROPOSTA PREVIDENZIALE PER: </v>
      </c>
      <c r="D1" s="1328"/>
      <c r="E1" s="1329"/>
    </row>
    <row r="2" spans="1:5" ht="15.5" customHeight="1" x14ac:dyDescent="0.35">
      <c r="A2" s="395"/>
      <c r="C2" s="1330" t="str">
        <f>Traduzioni!G368&amp;" "&amp;ANALYSIS!$B$3&amp;" - "&amp;'RENDITE CLIENTE'!$B$2</f>
        <v>Valutazione effettuata da:  - NeoLife AG</v>
      </c>
      <c r="D2" s="1331"/>
      <c r="E2" s="1332"/>
    </row>
    <row r="3" spans="1:5" x14ac:dyDescent="0.35">
      <c r="A3" s="395"/>
      <c r="C3" s="1330" t="str">
        <f>Traduzioni!G369&amp;" "&amp;Traduzioni!G366</f>
        <v>Parametri di calcolo: Dati forniti dal cliente - parametri del mercato finanziario</v>
      </c>
      <c r="D3" s="1331"/>
      <c r="E3" s="1332"/>
    </row>
    <row r="4" spans="1:5" ht="16" thickBot="1" x14ac:dyDescent="0.4">
      <c r="A4" s="374"/>
      <c r="B4" s="377"/>
      <c r="C4" s="476" t="str">
        <f>Traduzioni!G370</f>
        <v>Calcolo del:</v>
      </c>
      <c r="D4" s="1333">
        <f ca="1">NOW()</f>
        <v>45680.292758449075</v>
      </c>
      <c r="E4" s="1334"/>
    </row>
    <row r="6" spans="1:5" s="3" customFormat="1" ht="37" customHeight="1" x14ac:dyDescent="0.4">
      <c r="A6" s="1338" t="str">
        <f>'PRIV-VALID.'!A37</f>
        <v>Composizione di un piano previdenziale ideale, con vantaggi fiscali (terzo pilastro):</v>
      </c>
      <c r="B6" s="1338"/>
      <c r="C6" s="1338"/>
      <c r="D6" s="1338"/>
      <c r="E6" s="1338"/>
    </row>
    <row r="7" spans="1:5" ht="12.75" customHeight="1" x14ac:dyDescent="0.35">
      <c r="A7" s="1335" t="str">
        <f>Traduzioni!G325</f>
        <v>CAPITALI ASSICURATI</v>
      </c>
      <c r="B7" s="1336" t="str">
        <f>Traduzioni!G327</f>
        <v>Capitale alla pensione:</v>
      </c>
      <c r="C7" s="1336"/>
      <c r="D7" s="1336"/>
      <c r="E7" s="273">
        <f ca="1">'PRIV-VALID.'!B42</f>
        <v>0</v>
      </c>
    </row>
    <row r="8" spans="1:5" ht="12.75" customHeight="1" x14ac:dyDescent="0.35">
      <c r="A8" s="1335"/>
      <c r="B8" s="1336" t="str">
        <f>Traduzioni!G328</f>
        <v>Capitale assicurato in caso di decesso:</v>
      </c>
      <c r="C8" s="1336"/>
      <c r="D8" s="1336"/>
      <c r="E8" s="273">
        <f ca="1">'PRIV-VALID.'!B43</f>
        <v>0</v>
      </c>
    </row>
    <row r="9" spans="1:5" ht="12.75" customHeight="1" x14ac:dyDescent="0.35">
      <c r="A9" s="1335"/>
      <c r="B9" s="1336" t="str">
        <f>IF('PRIV-VALID.'!B40=1,Traduzioni!G329,"")</f>
        <v>Garanzia del pagamento dei premi in caso di incapacità lavorativa:</v>
      </c>
      <c r="C9" s="1336"/>
      <c r="D9" s="1336"/>
      <c r="E9" s="273">
        <f ca="1">IF('PRIV-VALID.'!B40=1,'PRIV-VALID.'!B38*'PRIV-VALID.'!B39*'calcoli Cliente'!B55,"")</f>
        <v>0</v>
      </c>
    </row>
    <row r="10" spans="1:5" ht="12.75" customHeight="1" x14ac:dyDescent="0.35">
      <c r="A10" s="1335"/>
      <c r="B10" s="1336" t="str">
        <f>IF('PRIV-VALID.'!B41&gt;0,Traduzioni!G330,"")</f>
        <v/>
      </c>
      <c r="C10" s="1336"/>
      <c r="D10" s="1336"/>
      <c r="E10" s="274">
        <f>IF('PRIV-VALID.'!B41&gt;0,'PRIV-VALID.'!B41*'calcoli Cliente'!B55*('PRIV-VALID.'!B39-2),0)</f>
        <v>0</v>
      </c>
    </row>
    <row r="11" spans="1:5" ht="12.75" customHeight="1" x14ac:dyDescent="0.35">
      <c r="A11" s="1335"/>
      <c r="B11" s="1337" t="str">
        <f>Traduzioni!G331</f>
        <v>Totale coperture e capitali per il cliente:</v>
      </c>
      <c r="C11" s="1337"/>
      <c r="D11" s="1337"/>
      <c r="E11" s="275">
        <f ca="1">E7+E8+E9+E10</f>
        <v>0</v>
      </c>
    </row>
    <row r="12" spans="1:5" ht="12.75" customHeight="1" x14ac:dyDescent="0.35">
      <c r="A12" s="1335" t="str">
        <f>Traduzioni!G326</f>
        <v>CAPITALI INVESTITI</v>
      </c>
      <c r="B12" s="1336" t="str">
        <f>'PRIV-VALID.'!A38</f>
        <v>Premio annuo</v>
      </c>
      <c r="C12" s="1336"/>
      <c r="D12" s="1336"/>
      <c r="E12" s="273">
        <f>'PRIV-VALID.'!B38</f>
        <v>0</v>
      </c>
    </row>
    <row r="13" spans="1:5" ht="12.75" customHeight="1" x14ac:dyDescent="0.35">
      <c r="A13" s="1335"/>
      <c r="B13" s="1336" t="str">
        <f>'PRIV-VALID.'!A39</f>
        <v>Durata piano previdenziale</v>
      </c>
      <c r="C13" s="1336"/>
      <c r="D13" s="1336"/>
      <c r="E13" s="276">
        <f ca="1">'PRIV-VALID.'!B39</f>
        <v>-60</v>
      </c>
    </row>
    <row r="14" spans="1:5" ht="12.75" customHeight="1" x14ac:dyDescent="0.35">
      <c r="A14" s="1335"/>
      <c r="B14" s="1336" t="str">
        <f>Traduzioni!G332</f>
        <v>Partecipazione fiscale annua (detrazione)</v>
      </c>
      <c r="C14" s="1336"/>
      <c r="D14" s="1336"/>
      <c r="E14" s="273">
        <f>'PRIV-VALID.'!B44-'PRIV-VALID.'!B45</f>
        <v>0</v>
      </c>
    </row>
    <row r="15" spans="1:5" ht="12.75" customHeight="1" x14ac:dyDescent="0.35">
      <c r="A15" s="1335"/>
      <c r="B15" s="1337" t="str">
        <f>Traduzioni!G333</f>
        <v>Totale capitali investiti</v>
      </c>
      <c r="C15" s="1337"/>
      <c r="D15" s="1337"/>
      <c r="E15" s="275">
        <f ca="1">E12*E13-E14*E13*'calcoli Cliente'!B55</f>
        <v>0</v>
      </c>
    </row>
    <row r="16" spans="1:5" x14ac:dyDescent="0.35">
      <c r="B16" s="12"/>
      <c r="C16" s="10"/>
      <c r="D16" s="10"/>
      <c r="E16" s="10"/>
    </row>
    <row r="17" spans="1:6" x14ac:dyDescent="0.35">
      <c r="B17" s="12"/>
      <c r="C17" s="10"/>
      <c r="D17" s="10"/>
      <c r="E17" s="10"/>
    </row>
    <row r="18" spans="1:6" x14ac:dyDescent="0.35">
      <c r="B18" s="12"/>
      <c r="C18" s="10"/>
      <c r="D18" s="10"/>
      <c r="E18" s="10"/>
    </row>
    <row r="19" spans="1:6" x14ac:dyDescent="0.35">
      <c r="B19" s="12"/>
      <c r="C19" s="10"/>
      <c r="D19" s="10"/>
      <c r="E19" s="10"/>
    </row>
    <row r="20" spans="1:6" x14ac:dyDescent="0.35">
      <c r="B20" s="12"/>
      <c r="C20" s="10"/>
      <c r="D20" s="10"/>
      <c r="E20" s="10"/>
    </row>
    <row r="21" spans="1:6" x14ac:dyDescent="0.35">
      <c r="B21" s="12"/>
      <c r="C21" s="10"/>
      <c r="D21" s="10"/>
      <c r="E21" s="10"/>
    </row>
    <row r="22" spans="1:6" x14ac:dyDescent="0.35">
      <c r="B22" s="12"/>
      <c r="C22" s="10"/>
      <c r="D22" s="10"/>
      <c r="E22" s="10"/>
    </row>
    <row r="23" spans="1:6" x14ac:dyDescent="0.35">
      <c r="B23" s="12"/>
      <c r="C23" s="10"/>
      <c r="D23" s="10"/>
      <c r="E23" s="10"/>
    </row>
    <row r="24" spans="1:6" x14ac:dyDescent="0.35">
      <c r="B24" s="12"/>
      <c r="C24" s="10"/>
      <c r="D24" s="10"/>
      <c r="E24" s="10"/>
    </row>
    <row r="25" spans="1:6" x14ac:dyDescent="0.35">
      <c r="B25" s="12"/>
      <c r="C25" s="10"/>
      <c r="D25" s="10"/>
      <c r="E25" s="10"/>
    </row>
    <row r="26" spans="1:6" x14ac:dyDescent="0.35">
      <c r="B26" s="12"/>
      <c r="C26" s="10"/>
      <c r="D26" s="10"/>
      <c r="E26" s="10"/>
    </row>
    <row r="27" spans="1:6" x14ac:dyDescent="0.35">
      <c r="B27" s="12"/>
      <c r="C27" s="10"/>
      <c r="D27" s="10"/>
      <c r="E27" s="10"/>
    </row>
    <row r="28" spans="1:6" x14ac:dyDescent="0.35">
      <c r="B28" s="12"/>
      <c r="C28" s="10"/>
      <c r="D28" s="10"/>
      <c r="E28" s="10"/>
    </row>
    <row r="29" spans="1:6" s="2" customFormat="1" ht="13" x14ac:dyDescent="0.3">
      <c r="A29" s="47"/>
      <c r="B29" s="47"/>
      <c r="C29" s="47"/>
      <c r="D29" s="47"/>
      <c r="E29" s="47"/>
    </row>
    <row r="30" spans="1:6" s="2" customFormat="1" ht="13" x14ac:dyDescent="0.3">
      <c r="A30" s="47"/>
      <c r="B30" s="47"/>
      <c r="C30" s="47"/>
      <c r="D30" s="47"/>
      <c r="E30" s="47"/>
      <c r="F30" s="47"/>
    </row>
    <row r="31" spans="1:6" s="2" customFormat="1" ht="13" x14ac:dyDescent="0.3">
      <c r="A31" s="47"/>
      <c r="B31" s="47"/>
      <c r="C31" s="47"/>
      <c r="D31" s="47"/>
      <c r="E31" s="47"/>
    </row>
    <row r="32" spans="1:6" s="2" customFormat="1" ht="13" x14ac:dyDescent="0.3">
      <c r="A32" s="47"/>
      <c r="B32" s="47"/>
      <c r="C32" s="47"/>
      <c r="D32" s="47"/>
      <c r="E32" s="47"/>
    </row>
    <row r="33" spans="1:5" s="2" customFormat="1" ht="13" x14ac:dyDescent="0.3">
      <c r="A33" s="47"/>
      <c r="B33" s="47"/>
      <c r="C33" s="47"/>
      <c r="D33" s="47"/>
      <c r="E33" s="47"/>
    </row>
    <row r="34" spans="1:5" s="2" customFormat="1" ht="13" x14ac:dyDescent="0.3">
      <c r="A34" s="47"/>
      <c r="B34" s="47"/>
      <c r="C34" s="47"/>
      <c r="D34" s="47"/>
      <c r="E34" s="47"/>
    </row>
    <row r="35" spans="1:5" s="2" customFormat="1" ht="13" x14ac:dyDescent="0.3">
      <c r="A35" s="47"/>
      <c r="B35" s="47"/>
      <c r="C35" s="47"/>
      <c r="D35" s="47"/>
      <c r="E35" s="47"/>
    </row>
    <row r="36" spans="1:5" s="2" customFormat="1" ht="13" x14ac:dyDescent="0.3">
      <c r="A36" s="47"/>
      <c r="B36" s="47"/>
      <c r="C36" s="47"/>
      <c r="D36" s="47"/>
      <c r="E36" s="47"/>
    </row>
    <row r="37" spans="1:5" s="2" customFormat="1" ht="13" x14ac:dyDescent="0.3">
      <c r="A37" s="47"/>
      <c r="B37" s="47"/>
      <c r="C37" s="47"/>
      <c r="D37" s="47"/>
      <c r="E37" s="47"/>
    </row>
    <row r="38" spans="1:5" s="2" customFormat="1" ht="13" x14ac:dyDescent="0.3">
      <c r="A38" s="47"/>
      <c r="B38" s="47"/>
      <c r="C38" s="47"/>
      <c r="D38" s="47"/>
      <c r="E38" s="47"/>
    </row>
    <row r="39" spans="1:5" s="2" customFormat="1" ht="13" x14ac:dyDescent="0.3">
      <c r="A39" s="47"/>
      <c r="B39" s="47"/>
      <c r="C39" s="47"/>
      <c r="D39" s="47"/>
      <c r="E39" s="47"/>
    </row>
    <row r="40" spans="1:5" s="2" customFormat="1" ht="13" x14ac:dyDescent="0.3">
      <c r="A40" s="47"/>
      <c r="B40" s="47"/>
      <c r="C40" s="47"/>
      <c r="D40" s="47"/>
      <c r="E40" s="47"/>
    </row>
    <row r="41" spans="1:5" s="2" customFormat="1" ht="13" x14ac:dyDescent="0.3">
      <c r="A41" s="47"/>
      <c r="B41" s="47"/>
      <c r="C41" s="47"/>
      <c r="D41" s="47"/>
      <c r="E41" s="47"/>
    </row>
    <row r="42" spans="1:5" s="2" customFormat="1" ht="13" x14ac:dyDescent="0.3">
      <c r="A42" s="47"/>
      <c r="B42" s="47"/>
      <c r="C42" s="47"/>
      <c r="D42" s="47"/>
      <c r="E42" s="47"/>
    </row>
    <row r="43" spans="1:5" s="2" customFormat="1" ht="13" x14ac:dyDescent="0.3">
      <c r="A43" s="47"/>
      <c r="B43" s="47"/>
      <c r="C43" s="47"/>
      <c r="D43" s="47"/>
      <c r="E43" s="47"/>
    </row>
    <row r="44" spans="1:5" s="2" customFormat="1" ht="13" x14ac:dyDescent="0.3">
      <c r="A44" s="47"/>
      <c r="B44" s="47"/>
      <c r="C44" s="47"/>
      <c r="D44" s="47"/>
      <c r="E44" s="47"/>
    </row>
    <row r="45" spans="1:5" s="2" customFormat="1" ht="13" x14ac:dyDescent="0.3">
      <c r="A45" s="47"/>
      <c r="B45" s="47"/>
      <c r="C45" s="47"/>
      <c r="D45" s="47"/>
      <c r="E45" s="47"/>
    </row>
    <row r="46" spans="1:5" s="2" customFormat="1" ht="13" x14ac:dyDescent="0.3">
      <c r="A46" s="47"/>
      <c r="B46" s="47"/>
      <c r="C46" s="47"/>
      <c r="D46" s="47"/>
      <c r="E46" s="47"/>
    </row>
    <row r="47" spans="1:5" s="2" customFormat="1" ht="13" x14ac:dyDescent="0.3">
      <c r="A47" s="47"/>
      <c r="B47" s="47"/>
      <c r="C47" s="47"/>
      <c r="D47" s="47"/>
      <c r="E47" s="47"/>
    </row>
    <row r="48" spans="1:5" s="2" customFormat="1" ht="13" x14ac:dyDescent="0.3">
      <c r="A48" s="47"/>
      <c r="B48" s="47"/>
      <c r="C48" s="47"/>
      <c r="D48" s="47"/>
      <c r="E48" s="47"/>
    </row>
    <row r="49" spans="1:6" s="2" customFormat="1" ht="13" x14ac:dyDescent="0.3">
      <c r="A49" s="47"/>
      <c r="B49" s="47"/>
      <c r="C49" s="47"/>
      <c r="D49" s="47"/>
      <c r="E49" s="47"/>
    </row>
    <row r="50" spans="1:6" s="2" customFormat="1" ht="13.5" thickBot="1" x14ac:dyDescent="0.35"/>
    <row r="51" spans="1:6" s="2" customFormat="1" x14ac:dyDescent="0.35">
      <c r="A51" s="394"/>
      <c r="B51" s="140"/>
      <c r="C51" s="1327" t="str">
        <f>Traduzioni!G323&amp;" " &amp;ANALYSIS!C19</f>
        <v xml:space="preserve">PROPOSTA PREVIDENZIALE PER: </v>
      </c>
      <c r="D51" s="1328"/>
      <c r="E51" s="1329"/>
      <c r="F51" s="1"/>
    </row>
    <row r="52" spans="1:6" s="2" customFormat="1" x14ac:dyDescent="0.35">
      <c r="A52" s="395"/>
      <c r="B52" s="1"/>
      <c r="C52" s="1330" t="str">
        <f>Traduzioni!G368&amp;" "&amp;ANALYSIS!$B$3&amp;" - "&amp;'RENDITE CLIENTE'!$B$2</f>
        <v>Valutazione effettuata da:  - NeoLife AG</v>
      </c>
      <c r="D52" s="1331"/>
      <c r="E52" s="1332"/>
      <c r="F52" s="1"/>
    </row>
    <row r="53" spans="1:6" s="2" customFormat="1" ht="9" customHeight="1" x14ac:dyDescent="0.35">
      <c r="A53" s="395"/>
      <c r="B53" s="1"/>
      <c r="C53" s="1330" t="str">
        <f>Traduzioni!G369&amp;" "&amp;Traduzioni!G366</f>
        <v>Parametri di calcolo: Dati forniti dal cliente - parametri del mercato finanziario</v>
      </c>
      <c r="D53" s="1331"/>
      <c r="E53" s="1332"/>
      <c r="F53" s="1"/>
    </row>
    <row r="54" spans="1:6" s="2" customFormat="1" ht="16" thickBot="1" x14ac:dyDescent="0.4">
      <c r="A54" s="374"/>
      <c r="B54" s="377"/>
      <c r="C54" s="476" t="str">
        <f>Traduzioni!G370</f>
        <v>Calcolo del:</v>
      </c>
      <c r="D54" s="1333">
        <f ca="1">NOW()</f>
        <v>45680.292758333337</v>
      </c>
      <c r="E54" s="1334"/>
      <c r="F54" s="1"/>
    </row>
    <row r="55" spans="1:6" s="2" customFormat="1" x14ac:dyDescent="0.35">
      <c r="A55"/>
      <c r="B55" s="1"/>
      <c r="C55" s="1"/>
      <c r="D55" s="1"/>
      <c r="E55" s="1"/>
      <c r="F55" s="1"/>
    </row>
    <row r="56" spans="1:6" s="2" customFormat="1" ht="18" x14ac:dyDescent="0.4">
      <c r="A56" s="1338" t="str">
        <f>'OPP3'!A6</f>
        <v>Composizione di un piano previdenziale ideale, con vantaggi fiscali (terzo pilastro):</v>
      </c>
      <c r="B56" s="1338"/>
      <c r="C56" s="1338"/>
      <c r="D56" s="1338"/>
      <c r="E56" s="1338"/>
      <c r="F56" s="3"/>
    </row>
    <row r="57" spans="1:6" s="2" customFormat="1" ht="12.75" customHeight="1" x14ac:dyDescent="0.35">
      <c r="A57" s="1335" t="str">
        <f>'OPP3'!A7</f>
        <v>CAPITALI ASSICURATI</v>
      </c>
      <c r="B57" s="1336" t="str">
        <f>'OPP3'!B7</f>
        <v>Capitale alla pensione:</v>
      </c>
      <c r="C57" s="1336"/>
      <c r="D57" s="1336"/>
      <c r="E57" s="273">
        <f ca="1">'PRIV-VALID.'!B97*'calcoli Cliente'!B55</f>
        <v>0</v>
      </c>
      <c r="F57" s="1"/>
    </row>
    <row r="58" spans="1:6" s="2" customFormat="1" ht="12.75" customHeight="1" x14ac:dyDescent="0.35">
      <c r="A58" s="1335"/>
      <c r="B58" s="1336" t="str">
        <f>'OPP3'!B8</f>
        <v>Capitale assicurato in caso di decesso:</v>
      </c>
      <c r="C58" s="1336"/>
      <c r="D58" s="1336"/>
      <c r="E58" s="273">
        <f ca="1">'PRIV-VALID.'!B98*'calcoli Cliente'!B55</f>
        <v>0</v>
      </c>
      <c r="F58" s="1"/>
    </row>
    <row r="59" spans="1:6" s="2" customFormat="1" ht="12.75" customHeight="1" x14ac:dyDescent="0.35">
      <c r="A59" s="1335"/>
      <c r="B59" s="1336" t="str">
        <f>'OPP3'!B9</f>
        <v>Garanzia del pagamento dei premi in caso di incapacità lavorativa:</v>
      </c>
      <c r="C59" s="1336"/>
      <c r="D59" s="1336"/>
      <c r="E59" s="273">
        <f ca="1">IF('PRIV-VALID.'!B95=1,'PRIV-VALID.'!B93*'PRIV-VALID.'!B94*'calcoli Cliente'!B55,"")</f>
        <v>0</v>
      </c>
      <c r="F59" s="1"/>
    </row>
    <row r="60" spans="1:6" s="2" customFormat="1" ht="12.75" customHeight="1" x14ac:dyDescent="0.35">
      <c r="A60" s="1335"/>
      <c r="B60" s="1336" t="str">
        <f>'OPP3'!B10</f>
        <v/>
      </c>
      <c r="C60" s="1336"/>
      <c r="D60" s="1336"/>
      <c r="E60" s="274">
        <f>IF('PRIV-VALID.'!B96&gt;0,'PRIV-VALID.'!B96*'calcoli Cliente'!B55*('PRIV-VALID.'!B94-2),0)</f>
        <v>0</v>
      </c>
      <c r="F60" s="1"/>
    </row>
    <row r="61" spans="1:6" s="2" customFormat="1" ht="12.75" customHeight="1" x14ac:dyDescent="0.35">
      <c r="A61" s="1335"/>
      <c r="B61" s="1336" t="str">
        <f>'OPP3'!B11</f>
        <v>Totale coperture e capitali per il cliente:</v>
      </c>
      <c r="C61" s="1336"/>
      <c r="D61" s="1336"/>
      <c r="E61" s="275">
        <f ca="1">E57+E58+E59+E60*'calcoli Cliente'!B55</f>
        <v>0</v>
      </c>
      <c r="F61" s="1"/>
    </row>
    <row r="62" spans="1:6" s="2" customFormat="1" ht="12.75" customHeight="1" x14ac:dyDescent="0.35">
      <c r="A62" s="1335" t="str">
        <f>'OPP3'!A12</f>
        <v>CAPITALI INVESTITI</v>
      </c>
      <c r="B62" s="1336" t="str">
        <f>'OPP3'!B12</f>
        <v>Premio annuo</v>
      </c>
      <c r="C62" s="1336"/>
      <c r="D62" s="1336"/>
      <c r="E62" s="273">
        <f ca="1">'PRIV-VALID.'!B93*'calcoli Cliente'!B55</f>
        <v>0</v>
      </c>
      <c r="F62" s="1"/>
    </row>
    <row r="63" spans="1:6" s="2" customFormat="1" ht="12.75" customHeight="1" x14ac:dyDescent="0.35">
      <c r="A63" s="1335"/>
      <c r="B63" s="1336" t="str">
        <f>'OPP3'!B13</f>
        <v>Durata piano previdenziale</v>
      </c>
      <c r="C63" s="1336"/>
      <c r="D63" s="1336"/>
      <c r="E63" s="276">
        <f ca="1">'PRIV-VALID.'!B94*'calcoli Cliente'!B55</f>
        <v>65</v>
      </c>
      <c r="F63" s="1"/>
    </row>
    <row r="64" spans="1:6" s="2" customFormat="1" ht="12.75" customHeight="1" x14ac:dyDescent="0.35">
      <c r="A64" s="1335"/>
      <c r="B64" s="1336" t="str">
        <f>'OPP3'!B14</f>
        <v>Partecipazione fiscale annua (detrazione)</v>
      </c>
      <c r="C64" s="1336"/>
      <c r="D64" s="1336"/>
      <c r="E64" s="273">
        <f ca="1">'PRIV-VALID.'!B99-'PRIV-VALID.'!B100*'calcoli Cliente'!B55</f>
        <v>0</v>
      </c>
      <c r="F64" s="1"/>
    </row>
    <row r="65" spans="1:6" s="2" customFormat="1" ht="12.75" customHeight="1" x14ac:dyDescent="0.35">
      <c r="A65" s="1335"/>
      <c r="B65" s="1336" t="str">
        <f>'OPP3'!B15</f>
        <v>Totale capitali investiti</v>
      </c>
      <c r="C65" s="1336"/>
      <c r="D65" s="1336"/>
      <c r="E65" s="275">
        <f ca="1">E62*E63-E64*E63*'calcoli Cliente'!B55</f>
        <v>0</v>
      </c>
      <c r="F65" s="1"/>
    </row>
    <row r="66" spans="1:6" s="2" customFormat="1" x14ac:dyDescent="0.35">
      <c r="A66"/>
      <c r="B66" s="12"/>
      <c r="C66" s="10"/>
      <c r="D66" s="10"/>
      <c r="E66" s="10"/>
      <c r="F66" s="1"/>
    </row>
    <row r="67" spans="1:6" s="2" customFormat="1" x14ac:dyDescent="0.35">
      <c r="A67"/>
      <c r="B67" s="12"/>
      <c r="C67" s="10"/>
      <c r="D67" s="10"/>
      <c r="E67" s="10"/>
      <c r="F67" s="1"/>
    </row>
    <row r="68" spans="1:6" s="2" customFormat="1" x14ac:dyDescent="0.35">
      <c r="A68"/>
      <c r="B68" s="12"/>
      <c r="C68" s="10"/>
      <c r="D68" s="10"/>
      <c r="E68" s="10"/>
      <c r="F68" s="1"/>
    </row>
    <row r="69" spans="1:6" s="2" customFormat="1" x14ac:dyDescent="0.35">
      <c r="A69"/>
      <c r="B69" s="12"/>
      <c r="C69" s="10"/>
      <c r="D69" s="10"/>
      <c r="E69" s="10"/>
      <c r="F69" s="1"/>
    </row>
    <row r="70" spans="1:6" s="2" customFormat="1" x14ac:dyDescent="0.35">
      <c r="A70"/>
      <c r="B70" s="12"/>
      <c r="C70" s="10"/>
      <c r="D70" s="10"/>
      <c r="E70" s="10"/>
      <c r="F70" s="1"/>
    </row>
    <row r="71" spans="1:6" s="2" customFormat="1" x14ac:dyDescent="0.35">
      <c r="A71"/>
      <c r="B71" s="12"/>
      <c r="C71" s="10"/>
      <c r="D71" s="10"/>
      <c r="E71" s="10"/>
      <c r="F71" s="1"/>
    </row>
    <row r="72" spans="1:6" s="2" customFormat="1" x14ac:dyDescent="0.35">
      <c r="A72"/>
      <c r="B72" s="12"/>
      <c r="C72" s="10"/>
      <c r="D72" s="10"/>
      <c r="E72" s="10"/>
      <c r="F72" s="1"/>
    </row>
    <row r="73" spans="1:6" s="2" customFormat="1" x14ac:dyDescent="0.35">
      <c r="A73"/>
      <c r="B73" s="12"/>
      <c r="C73" s="10"/>
      <c r="D73" s="10"/>
      <c r="E73" s="10"/>
      <c r="F73" s="1"/>
    </row>
    <row r="74" spans="1:6" s="2" customFormat="1" x14ac:dyDescent="0.35">
      <c r="A74"/>
      <c r="B74" s="12"/>
      <c r="C74" s="10"/>
      <c r="D74" s="10"/>
      <c r="E74" s="10"/>
      <c r="F74" s="1"/>
    </row>
    <row r="75" spans="1:6" s="2" customFormat="1" x14ac:dyDescent="0.35">
      <c r="A75"/>
      <c r="B75" s="12"/>
      <c r="C75" s="10"/>
      <c r="D75" s="10"/>
      <c r="E75" s="10"/>
      <c r="F75" s="1"/>
    </row>
    <row r="76" spans="1:6" s="2" customFormat="1" x14ac:dyDescent="0.35">
      <c r="A76"/>
      <c r="B76" s="12"/>
      <c r="C76" s="10"/>
      <c r="D76" s="10"/>
      <c r="E76" s="10"/>
      <c r="F76" s="1"/>
    </row>
    <row r="77" spans="1:6" s="2" customFormat="1" x14ac:dyDescent="0.35">
      <c r="A77"/>
      <c r="B77" s="12"/>
      <c r="C77" s="10"/>
      <c r="D77" s="10"/>
      <c r="E77" s="10"/>
      <c r="F77" s="1"/>
    </row>
    <row r="78" spans="1:6" s="2" customFormat="1" x14ac:dyDescent="0.35">
      <c r="A78"/>
      <c r="B78" s="12"/>
      <c r="C78" s="10"/>
      <c r="D78" s="10"/>
      <c r="E78" s="10"/>
      <c r="F78" s="1"/>
    </row>
    <row r="79" spans="1:6" s="2" customFormat="1" ht="13" x14ac:dyDescent="0.3">
      <c r="A79" s="47"/>
      <c r="B79" s="47"/>
      <c r="C79" s="47"/>
      <c r="D79" s="47"/>
      <c r="E79" s="47"/>
    </row>
    <row r="80" spans="1:6" s="2" customFormat="1" ht="13" x14ac:dyDescent="0.3">
      <c r="A80" s="47"/>
      <c r="B80" s="47"/>
      <c r="C80" s="47"/>
      <c r="D80" s="47"/>
      <c r="E80" s="47"/>
    </row>
    <row r="81" spans="1:6" s="2" customFormat="1" ht="13" x14ac:dyDescent="0.3">
      <c r="A81" s="47"/>
      <c r="B81" s="47"/>
      <c r="C81" s="47"/>
      <c r="D81" s="47"/>
      <c r="E81" s="47"/>
    </row>
    <row r="82" spans="1:6" s="2" customFormat="1" ht="13" x14ac:dyDescent="0.3">
      <c r="A82" s="47"/>
      <c r="B82" s="47"/>
      <c r="C82" s="47"/>
      <c r="D82" s="47"/>
      <c r="E82" s="47"/>
    </row>
    <row r="83" spans="1:6" x14ac:dyDescent="0.35">
      <c r="A83" s="47"/>
      <c r="B83" s="47"/>
      <c r="C83" s="47"/>
      <c r="D83" s="47"/>
      <c r="E83" s="47"/>
      <c r="F83" s="2"/>
    </row>
    <row r="84" spans="1:6" x14ac:dyDescent="0.35">
      <c r="A84" s="47"/>
      <c r="B84" s="47"/>
      <c r="C84" s="47"/>
      <c r="D84" s="47"/>
      <c r="E84" s="47"/>
      <c r="F84" s="2"/>
    </row>
    <row r="85" spans="1:6" x14ac:dyDescent="0.35">
      <c r="A85" s="47"/>
      <c r="B85" s="47"/>
      <c r="C85" s="47"/>
      <c r="D85" s="47"/>
      <c r="E85" s="47"/>
      <c r="F85" s="2"/>
    </row>
    <row r="86" spans="1:6" x14ac:dyDescent="0.35">
      <c r="A86" s="47"/>
      <c r="B86" s="47"/>
      <c r="C86" s="47"/>
      <c r="D86" s="47"/>
      <c r="E86" s="47"/>
      <c r="F86" s="2"/>
    </row>
    <row r="87" spans="1:6" x14ac:dyDescent="0.35">
      <c r="A87" s="47"/>
      <c r="B87" s="47"/>
      <c r="C87" s="47"/>
      <c r="D87" s="47"/>
      <c r="E87" s="47"/>
      <c r="F87" s="2"/>
    </row>
    <row r="88" spans="1:6" x14ac:dyDescent="0.35">
      <c r="A88" s="47"/>
      <c r="B88" s="47"/>
      <c r="C88" s="47"/>
      <c r="D88" s="47"/>
      <c r="E88" s="47"/>
      <c r="F88" s="2"/>
    </row>
    <row r="89" spans="1:6" x14ac:dyDescent="0.35">
      <c r="A89" s="47"/>
      <c r="B89" s="47"/>
      <c r="C89" s="47"/>
      <c r="D89" s="47"/>
      <c r="E89" s="47"/>
      <c r="F89" s="2"/>
    </row>
    <row r="90" spans="1:6" x14ac:dyDescent="0.35">
      <c r="A90" s="47"/>
      <c r="B90" s="47"/>
      <c r="C90" s="47"/>
      <c r="D90" s="47"/>
      <c r="E90" s="47"/>
      <c r="F90" s="2"/>
    </row>
    <row r="91" spans="1:6" x14ac:dyDescent="0.35">
      <c r="A91" s="47"/>
      <c r="B91" s="47"/>
      <c r="C91" s="47"/>
      <c r="D91" s="47"/>
      <c r="E91" s="47"/>
      <c r="F91" s="2"/>
    </row>
    <row r="92" spans="1:6" x14ac:dyDescent="0.35">
      <c r="A92" s="47"/>
      <c r="B92" s="47"/>
      <c r="C92" s="47"/>
      <c r="D92" s="47"/>
      <c r="E92" s="47"/>
      <c r="F92" s="2"/>
    </row>
    <row r="93" spans="1:6" x14ac:dyDescent="0.35">
      <c r="A93" s="47"/>
      <c r="B93" s="47"/>
      <c r="C93" s="47"/>
      <c r="D93" s="47"/>
      <c r="E93" s="47"/>
      <c r="F93" s="2"/>
    </row>
    <row r="94" spans="1:6" x14ac:dyDescent="0.35">
      <c r="A94" s="47"/>
      <c r="B94" s="47"/>
      <c r="C94" s="47"/>
      <c r="D94" s="47"/>
      <c r="E94" s="47"/>
      <c r="F94" s="2"/>
    </row>
    <row r="95" spans="1:6" x14ac:dyDescent="0.35">
      <c r="A95" s="47"/>
      <c r="B95" s="47"/>
      <c r="C95" s="47"/>
      <c r="D95" s="47"/>
      <c r="E95" s="47"/>
      <c r="F95" s="2"/>
    </row>
    <row r="96" spans="1:6" x14ac:dyDescent="0.35">
      <c r="A96" s="47"/>
      <c r="B96" s="47"/>
      <c r="C96" s="47"/>
      <c r="D96" s="47"/>
      <c r="E96" s="47"/>
      <c r="F96" s="2"/>
    </row>
    <row r="97" spans="1:6" x14ac:dyDescent="0.35">
      <c r="A97" s="47"/>
      <c r="B97" s="47"/>
      <c r="C97" s="47"/>
      <c r="D97" s="47"/>
      <c r="E97" s="47"/>
      <c r="F97" s="2"/>
    </row>
    <row r="98" spans="1:6" x14ac:dyDescent="0.35">
      <c r="A98" s="47"/>
      <c r="B98" s="47"/>
      <c r="C98" s="47"/>
      <c r="D98" s="47"/>
      <c r="E98" s="47"/>
      <c r="F98" s="2"/>
    </row>
    <row r="99" spans="1:6" x14ac:dyDescent="0.35">
      <c r="A99" s="2"/>
      <c r="B99" s="2"/>
      <c r="C99" s="2"/>
      <c r="D99" s="2"/>
      <c r="E99" s="2"/>
      <c r="F99" s="2"/>
    </row>
    <row r="100" spans="1:6" x14ac:dyDescent="0.35">
      <c r="A100" s="2"/>
      <c r="B100" s="2"/>
      <c r="C100" s="2"/>
      <c r="D100" s="2"/>
      <c r="E100" s="2"/>
      <c r="F100" s="2"/>
    </row>
    <row r="101" spans="1:6" x14ac:dyDescent="0.35">
      <c r="A101" s="2"/>
      <c r="B101" s="2"/>
      <c r="C101" s="2"/>
      <c r="D101" s="2"/>
      <c r="E101" s="2"/>
      <c r="F101" s="2"/>
    </row>
    <row r="102" spans="1:6" x14ac:dyDescent="0.35">
      <c r="A102" s="2"/>
      <c r="B102" s="2"/>
      <c r="C102" s="2"/>
      <c r="D102" s="2"/>
      <c r="E102" s="2"/>
      <c r="F102" s="2"/>
    </row>
    <row r="103" spans="1:6" x14ac:dyDescent="0.35">
      <c r="A103" s="2"/>
      <c r="B103" s="2"/>
      <c r="C103" s="2"/>
      <c r="D103" s="2"/>
      <c r="E103" s="2"/>
      <c r="F103" s="2"/>
    </row>
  </sheetData>
  <sheetProtection sheet="1" selectLockedCells="1"/>
  <mergeCells count="32">
    <mergeCell ref="C51:E51"/>
    <mergeCell ref="C52:E52"/>
    <mergeCell ref="C53:E53"/>
    <mergeCell ref="D54:E54"/>
    <mergeCell ref="A62:A65"/>
    <mergeCell ref="B62:D62"/>
    <mergeCell ref="B63:D63"/>
    <mergeCell ref="B64:D64"/>
    <mergeCell ref="B65:D65"/>
    <mergeCell ref="A56:E56"/>
    <mergeCell ref="A57:A61"/>
    <mergeCell ref="B57:D57"/>
    <mergeCell ref="B58:D58"/>
    <mergeCell ref="B59:D59"/>
    <mergeCell ref="B60:D60"/>
    <mergeCell ref="B61:D61"/>
    <mergeCell ref="C1:E1"/>
    <mergeCell ref="C2:E2"/>
    <mergeCell ref="C3:E3"/>
    <mergeCell ref="D4:E4"/>
    <mergeCell ref="A12:A15"/>
    <mergeCell ref="B12:D12"/>
    <mergeCell ref="B13:D13"/>
    <mergeCell ref="B14:D14"/>
    <mergeCell ref="B15:D15"/>
    <mergeCell ref="B8:D8"/>
    <mergeCell ref="A6:E6"/>
    <mergeCell ref="A7:A11"/>
    <mergeCell ref="B7:D7"/>
    <mergeCell ref="B9:D9"/>
    <mergeCell ref="B10:D10"/>
    <mergeCell ref="B11:D11"/>
  </mergeCells>
  <pageMargins left="0.7" right="0.7" top="0.75" bottom="0.75" header="0.3" footer="0.3"/>
  <pageSetup paperSize="9" firstPageNumber="0" orientation="portrait" r:id="rId1"/>
  <headerFooter alignWithMargins="0"/>
  <rowBreaks count="1" manualBreakCount="1">
    <brk id="50"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B997-A0B2-4347-B1C2-5C779D669B03}">
  <sheetPr codeName="Foglio20"/>
  <dimension ref="A6:A82"/>
  <sheetViews>
    <sheetView topLeftCell="A42" zoomScale="120" zoomScaleNormal="120" workbookViewId="0">
      <selection activeCell="F53" sqref="A1:F53"/>
    </sheetView>
  </sheetViews>
  <sheetFormatPr defaultColWidth="12.1796875" defaultRowHeight="15.5" x14ac:dyDescent="0.35"/>
  <cols>
    <col min="1" max="1" width="8.1796875" customWidth="1"/>
    <col min="2" max="2" width="18.1796875" style="1" customWidth="1"/>
    <col min="3" max="3" width="21.1796875" style="1" customWidth="1"/>
    <col min="4" max="4" width="14" style="1" customWidth="1"/>
    <col min="5" max="5" width="19.1796875" style="1" customWidth="1"/>
    <col min="6" max="16384" width="12.1796875" style="1"/>
  </cols>
  <sheetData>
    <row r="6" s="3" customFormat="1" ht="37" customHeight="1" x14ac:dyDescent="0.35"/>
    <row r="7" ht="12.75" customHeight="1" x14ac:dyDescent="0.35"/>
    <row r="8" ht="12.75" customHeight="1" x14ac:dyDescent="0.35"/>
    <row r="9" ht="12.75" customHeight="1" x14ac:dyDescent="0.35"/>
    <row r="10" ht="12.75" customHeight="1" x14ac:dyDescent="0.35"/>
    <row r="11" ht="19" customHeight="1" x14ac:dyDescent="0.35"/>
    <row r="13" ht="15" customHeight="1" x14ac:dyDescent="0.35"/>
    <row r="14" ht="13" customHeight="1" x14ac:dyDescent="0.35"/>
    <row r="15" ht="14.15" customHeight="1" x14ac:dyDescent="0.35"/>
    <row r="29" s="2" customFormat="1" ht="13" x14ac:dyDescent="0.3"/>
    <row r="30" s="2" customFormat="1" ht="13" x14ac:dyDescent="0.3"/>
    <row r="31" s="2" customFormat="1" ht="13" x14ac:dyDescent="0.3"/>
    <row r="32" s="2" customFormat="1" ht="13" x14ac:dyDescent="0.3"/>
    <row r="33" s="2" customFormat="1" ht="13" x14ac:dyDescent="0.3"/>
    <row r="34" s="2" customFormat="1" ht="13" x14ac:dyDescent="0.3"/>
    <row r="35" s="2" customFormat="1" ht="13" x14ac:dyDescent="0.3"/>
    <row r="36" s="2" customFormat="1" ht="13" x14ac:dyDescent="0.3"/>
    <row r="37" s="2" customFormat="1" ht="13" x14ac:dyDescent="0.3"/>
    <row r="38" s="2" customFormat="1" ht="13" x14ac:dyDescent="0.3"/>
    <row r="39" s="2" customFormat="1" ht="13" x14ac:dyDescent="0.3"/>
    <row r="40" s="2" customFormat="1" ht="13" x14ac:dyDescent="0.3"/>
    <row r="41" s="2" customFormat="1" ht="13" x14ac:dyDescent="0.3"/>
    <row r="42" s="2" customFormat="1" ht="13" x14ac:dyDescent="0.3"/>
    <row r="43" s="2" customFormat="1" ht="13" x14ac:dyDescent="0.3"/>
    <row r="44" s="2" customFormat="1" ht="13" x14ac:dyDescent="0.3"/>
    <row r="45" s="2" customFormat="1" ht="13" x14ac:dyDescent="0.3"/>
    <row r="46" s="2" customFormat="1" ht="13" x14ac:dyDescent="0.3"/>
    <row r="47" s="2" customFormat="1" ht="13" x14ac:dyDescent="0.3"/>
    <row r="48" s="2" customFormat="1" ht="13" x14ac:dyDescent="0.3"/>
    <row r="49" s="2" customFormat="1" ht="13" x14ac:dyDescent="0.3"/>
    <row r="50" s="2" customFormat="1" ht="13" x14ac:dyDescent="0.3"/>
    <row r="51" s="2" customFormat="1" ht="13" x14ac:dyDescent="0.3"/>
    <row r="52" s="2" customFormat="1" ht="13" x14ac:dyDescent="0.3"/>
    <row r="53" s="2" customFormat="1" ht="9" customHeight="1" x14ac:dyDescent="0.3"/>
    <row r="54" s="2" customFormat="1" ht="13" x14ac:dyDescent="0.3"/>
    <row r="55" s="2" customFormat="1" ht="13" x14ac:dyDescent="0.3"/>
    <row r="56" s="2" customFormat="1" ht="13" x14ac:dyDescent="0.3"/>
    <row r="57" s="2" customFormat="1" ht="13" x14ac:dyDescent="0.3"/>
    <row r="58" s="2" customFormat="1" ht="13" x14ac:dyDescent="0.3"/>
    <row r="59" s="2" customFormat="1" ht="13" x14ac:dyDescent="0.3"/>
    <row r="60" s="2" customFormat="1" ht="13" x14ac:dyDescent="0.3"/>
    <row r="61" s="2" customFormat="1" ht="13" x14ac:dyDescent="0.3"/>
    <row r="62" s="2" customFormat="1" ht="13" x14ac:dyDescent="0.3"/>
    <row r="63" s="2" customFormat="1" ht="13" x14ac:dyDescent="0.3"/>
    <row r="64" s="2" customFormat="1" ht="13" x14ac:dyDescent="0.3"/>
    <row r="65" s="2" customFormat="1" ht="13" x14ac:dyDescent="0.3"/>
    <row r="66" s="2" customFormat="1" ht="13" x14ac:dyDescent="0.3"/>
    <row r="67" s="2" customFormat="1" ht="13" x14ac:dyDescent="0.3"/>
    <row r="68" s="2" customFormat="1" ht="13" x14ac:dyDescent="0.3"/>
    <row r="69" s="2" customFormat="1" ht="13" x14ac:dyDescent="0.3"/>
    <row r="70" s="2" customFormat="1" ht="13" x14ac:dyDescent="0.3"/>
    <row r="71" s="2" customFormat="1" ht="13" x14ac:dyDescent="0.3"/>
    <row r="72" s="2" customFormat="1" ht="13" x14ac:dyDescent="0.3"/>
    <row r="73" s="2" customFormat="1" ht="13" x14ac:dyDescent="0.3"/>
    <row r="74" s="2" customFormat="1" ht="13" x14ac:dyDescent="0.3"/>
    <row r="75" s="2" customFormat="1" ht="13" x14ac:dyDescent="0.3"/>
    <row r="76" s="2" customFormat="1" ht="13" x14ac:dyDescent="0.3"/>
    <row r="77" s="2" customFormat="1" ht="13" x14ac:dyDescent="0.3"/>
    <row r="78" s="2" customFormat="1" ht="13" x14ac:dyDescent="0.3"/>
    <row r="79" s="2" customFormat="1" ht="13" x14ac:dyDescent="0.3"/>
    <row r="80" s="2" customFormat="1" ht="13" x14ac:dyDescent="0.3"/>
    <row r="81" s="2" customFormat="1" ht="13" x14ac:dyDescent="0.3"/>
    <row r="82" s="2" customFormat="1" ht="13" x14ac:dyDescent="0.3"/>
  </sheetData>
  <sheetProtection selectLockedCells="1"/>
  <pageMargins left="0.7" right="0.7" top="0.75" bottom="0.75" header="0.3" footer="0.3"/>
  <pageSetup paperSize="9" firstPageNumber="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1AC69-C6C9-4252-864C-E8DACC2F3952}">
  <sheetPr codeName="Foglio4"/>
  <dimension ref="A1:E68"/>
  <sheetViews>
    <sheetView topLeftCell="A59" zoomScale="120" zoomScaleNormal="120" workbookViewId="0">
      <selection activeCell="B61" sqref="B61"/>
    </sheetView>
  </sheetViews>
  <sheetFormatPr defaultColWidth="11.453125" defaultRowHeight="12.5" x14ac:dyDescent="0.25"/>
  <cols>
    <col min="1" max="1" width="13.1796875" customWidth="1"/>
    <col min="2" max="2" width="14.1796875" customWidth="1"/>
    <col min="7" max="7" width="15.26953125" customWidth="1"/>
  </cols>
  <sheetData>
    <row r="1" spans="1:5" x14ac:dyDescent="0.25">
      <c r="A1" t="s">
        <v>18</v>
      </c>
    </row>
    <row r="3" spans="1:5" x14ac:dyDescent="0.25">
      <c r="A3" t="s">
        <v>19</v>
      </c>
      <c r="C3" s="8">
        <f>'PRIV-VALID.'!B69</f>
        <v>0</v>
      </c>
    </row>
    <row r="8" spans="1:5" x14ac:dyDescent="0.25">
      <c r="A8" t="s">
        <v>20</v>
      </c>
      <c r="B8" t="s">
        <v>21</v>
      </c>
      <c r="E8" t="s">
        <v>22</v>
      </c>
    </row>
    <row r="9" spans="1:5" x14ac:dyDescent="0.25">
      <c r="A9" t="s">
        <v>23</v>
      </c>
    </row>
    <row r="10" spans="1:5" x14ac:dyDescent="0.25">
      <c r="A10">
        <v>0</v>
      </c>
    </row>
    <row r="11" spans="1:5" x14ac:dyDescent="0.25">
      <c r="A11">
        <v>15120</v>
      </c>
      <c r="B11">
        <v>1260</v>
      </c>
      <c r="C11">
        <f>IF(C3&gt;A11,0,B11)</f>
        <v>1260</v>
      </c>
      <c r="E11">
        <f t="shared" ref="E11:E42" si="0">IF(C11=0,0,B11*0.4)</f>
        <v>504</v>
      </c>
    </row>
    <row r="12" spans="1:5" ht="26.9" customHeight="1" x14ac:dyDescent="0.25">
      <c r="A12">
        <v>16632</v>
      </c>
      <c r="B12">
        <v>1293</v>
      </c>
      <c r="C12">
        <f t="shared" ref="C12:C43" si="1">IF($C$3&gt;A12,0,IF($C$3&gt;A11,B12,0))</f>
        <v>0</v>
      </c>
      <c r="E12">
        <f t="shared" si="0"/>
        <v>0</v>
      </c>
    </row>
    <row r="13" spans="1:5" x14ac:dyDescent="0.25">
      <c r="A13">
        <v>18144</v>
      </c>
      <c r="B13">
        <v>1326</v>
      </c>
      <c r="C13">
        <f t="shared" si="1"/>
        <v>0</v>
      </c>
      <c r="E13">
        <f t="shared" si="0"/>
        <v>0</v>
      </c>
    </row>
    <row r="14" spans="1:5" x14ac:dyDescent="0.25">
      <c r="A14">
        <v>19656</v>
      </c>
      <c r="B14">
        <v>1358</v>
      </c>
      <c r="C14">
        <f t="shared" si="1"/>
        <v>0</v>
      </c>
      <c r="E14">
        <f t="shared" si="0"/>
        <v>0</v>
      </c>
    </row>
    <row r="15" spans="1:5" x14ac:dyDescent="0.25">
      <c r="A15">
        <v>21168</v>
      </c>
      <c r="B15">
        <v>1391</v>
      </c>
      <c r="C15">
        <f t="shared" si="1"/>
        <v>0</v>
      </c>
      <c r="E15">
        <f t="shared" si="0"/>
        <v>0</v>
      </c>
    </row>
    <row r="16" spans="1:5" x14ac:dyDescent="0.25">
      <c r="A16">
        <v>22680</v>
      </c>
      <c r="B16">
        <v>1424</v>
      </c>
      <c r="C16">
        <f t="shared" si="1"/>
        <v>0</v>
      </c>
      <c r="E16">
        <f t="shared" si="0"/>
        <v>0</v>
      </c>
    </row>
    <row r="17" spans="1:5" ht="25.4" customHeight="1" x14ac:dyDescent="0.25">
      <c r="A17">
        <v>24192</v>
      </c>
      <c r="B17">
        <v>1457</v>
      </c>
      <c r="C17">
        <f t="shared" si="1"/>
        <v>0</v>
      </c>
      <c r="E17">
        <f t="shared" si="0"/>
        <v>0</v>
      </c>
    </row>
    <row r="18" spans="1:5" x14ac:dyDescent="0.25">
      <c r="A18">
        <v>25704</v>
      </c>
      <c r="B18">
        <v>1489</v>
      </c>
      <c r="C18">
        <f t="shared" si="1"/>
        <v>0</v>
      </c>
      <c r="E18">
        <f t="shared" si="0"/>
        <v>0</v>
      </c>
    </row>
    <row r="19" spans="1:5" x14ac:dyDescent="0.25">
      <c r="A19">
        <v>27216</v>
      </c>
      <c r="B19">
        <v>1522</v>
      </c>
      <c r="C19">
        <f t="shared" si="1"/>
        <v>0</v>
      </c>
      <c r="E19">
        <f t="shared" si="0"/>
        <v>0</v>
      </c>
    </row>
    <row r="20" spans="1:5" x14ac:dyDescent="0.25">
      <c r="A20">
        <v>28728</v>
      </c>
      <c r="B20">
        <v>1555</v>
      </c>
      <c r="C20">
        <f t="shared" si="1"/>
        <v>0</v>
      </c>
      <c r="E20">
        <f t="shared" si="0"/>
        <v>0</v>
      </c>
    </row>
    <row r="21" spans="1:5" x14ac:dyDescent="0.25">
      <c r="A21">
        <v>30240</v>
      </c>
      <c r="B21">
        <v>1588</v>
      </c>
      <c r="C21">
        <f t="shared" si="1"/>
        <v>0</v>
      </c>
      <c r="E21">
        <f t="shared" si="0"/>
        <v>0</v>
      </c>
    </row>
    <row r="22" spans="1:5" ht="26.15" customHeight="1" x14ac:dyDescent="0.25">
      <c r="A22">
        <v>31752</v>
      </c>
      <c r="B22">
        <v>1620</v>
      </c>
      <c r="C22">
        <f t="shared" si="1"/>
        <v>0</v>
      </c>
      <c r="E22">
        <f t="shared" si="0"/>
        <v>0</v>
      </c>
    </row>
    <row r="23" spans="1:5" x14ac:dyDescent="0.25">
      <c r="A23">
        <v>33264</v>
      </c>
      <c r="B23">
        <v>1653</v>
      </c>
      <c r="C23">
        <f t="shared" si="1"/>
        <v>0</v>
      </c>
      <c r="E23">
        <f t="shared" si="0"/>
        <v>0</v>
      </c>
    </row>
    <row r="24" spans="1:5" x14ac:dyDescent="0.25">
      <c r="A24">
        <v>34776</v>
      </c>
      <c r="B24">
        <v>1689</v>
      </c>
      <c r="C24">
        <f t="shared" si="1"/>
        <v>0</v>
      </c>
      <c r="E24">
        <f t="shared" si="0"/>
        <v>0</v>
      </c>
    </row>
    <row r="25" spans="1:5" x14ac:dyDescent="0.25">
      <c r="A25">
        <v>36288</v>
      </c>
      <c r="B25">
        <v>1719</v>
      </c>
      <c r="C25">
        <f t="shared" si="1"/>
        <v>0</v>
      </c>
      <c r="E25">
        <f t="shared" si="0"/>
        <v>0</v>
      </c>
    </row>
    <row r="26" spans="1:5" x14ac:dyDescent="0.25">
      <c r="A26">
        <v>37800</v>
      </c>
      <c r="B26">
        <v>1751</v>
      </c>
      <c r="C26">
        <f t="shared" si="1"/>
        <v>0</v>
      </c>
      <c r="E26">
        <f t="shared" si="0"/>
        <v>0</v>
      </c>
    </row>
    <row r="27" spans="1:5" ht="26.9" customHeight="1" x14ac:dyDescent="0.25">
      <c r="A27">
        <v>39312</v>
      </c>
      <c r="B27">
        <v>1784</v>
      </c>
      <c r="C27">
        <f t="shared" si="1"/>
        <v>0</v>
      </c>
      <c r="E27">
        <f t="shared" si="0"/>
        <v>0</v>
      </c>
    </row>
    <row r="28" spans="1:5" x14ac:dyDescent="0.25">
      <c r="A28">
        <v>40824</v>
      </c>
      <c r="B28">
        <v>1817</v>
      </c>
      <c r="C28">
        <f t="shared" si="1"/>
        <v>0</v>
      </c>
      <c r="E28">
        <f t="shared" si="0"/>
        <v>0</v>
      </c>
    </row>
    <row r="29" spans="1:5" x14ac:dyDescent="0.25">
      <c r="A29">
        <v>42336</v>
      </c>
      <c r="B29">
        <v>1850</v>
      </c>
      <c r="C29">
        <f t="shared" si="1"/>
        <v>0</v>
      </c>
      <c r="E29">
        <f t="shared" si="0"/>
        <v>0</v>
      </c>
    </row>
    <row r="30" spans="1:5" x14ac:dyDescent="0.25">
      <c r="A30">
        <v>43848</v>
      </c>
      <c r="B30">
        <v>1882</v>
      </c>
      <c r="C30">
        <f t="shared" si="1"/>
        <v>0</v>
      </c>
      <c r="E30">
        <f t="shared" si="0"/>
        <v>0</v>
      </c>
    </row>
    <row r="31" spans="1:5" x14ac:dyDescent="0.25">
      <c r="A31">
        <v>45360</v>
      </c>
      <c r="B31">
        <v>1915</v>
      </c>
      <c r="C31">
        <f t="shared" si="1"/>
        <v>0</v>
      </c>
      <c r="E31">
        <f t="shared" si="0"/>
        <v>0</v>
      </c>
    </row>
    <row r="32" spans="1:5" x14ac:dyDescent="0.25">
      <c r="A32">
        <v>46872</v>
      </c>
      <c r="B32">
        <v>1935</v>
      </c>
      <c r="C32">
        <f t="shared" si="1"/>
        <v>0</v>
      </c>
      <c r="E32">
        <f t="shared" si="0"/>
        <v>0</v>
      </c>
    </row>
    <row r="33" spans="1:5" x14ac:dyDescent="0.25">
      <c r="A33">
        <v>48384</v>
      </c>
      <c r="B33">
        <v>1956</v>
      </c>
      <c r="C33">
        <f t="shared" si="1"/>
        <v>0</v>
      </c>
      <c r="E33">
        <f t="shared" si="0"/>
        <v>0</v>
      </c>
    </row>
    <row r="34" spans="1:5" x14ac:dyDescent="0.25">
      <c r="A34">
        <v>49896</v>
      </c>
      <c r="B34">
        <v>1976</v>
      </c>
      <c r="C34">
        <f t="shared" si="1"/>
        <v>0</v>
      </c>
      <c r="E34">
        <f t="shared" si="0"/>
        <v>0</v>
      </c>
    </row>
    <row r="35" spans="1:5" x14ac:dyDescent="0.25">
      <c r="A35">
        <v>51408</v>
      </c>
      <c r="B35">
        <v>1996</v>
      </c>
      <c r="C35">
        <f t="shared" si="1"/>
        <v>0</v>
      </c>
      <c r="E35">
        <f t="shared" si="0"/>
        <v>0</v>
      </c>
    </row>
    <row r="36" spans="1:5" x14ac:dyDescent="0.25">
      <c r="A36">
        <v>52920</v>
      </c>
      <c r="B36">
        <v>2016</v>
      </c>
      <c r="C36">
        <f t="shared" si="1"/>
        <v>0</v>
      </c>
      <c r="E36">
        <f t="shared" si="0"/>
        <v>0</v>
      </c>
    </row>
    <row r="37" spans="1:5" x14ac:dyDescent="0.25">
      <c r="A37">
        <v>54432</v>
      </c>
      <c r="B37">
        <v>2036</v>
      </c>
      <c r="C37">
        <f t="shared" si="1"/>
        <v>0</v>
      </c>
      <c r="E37">
        <f t="shared" si="0"/>
        <v>0</v>
      </c>
    </row>
    <row r="38" spans="1:5" x14ac:dyDescent="0.25">
      <c r="A38">
        <v>55944</v>
      </c>
      <c r="B38">
        <v>2056</v>
      </c>
      <c r="C38">
        <f t="shared" si="1"/>
        <v>0</v>
      </c>
      <c r="E38">
        <f t="shared" si="0"/>
        <v>0</v>
      </c>
    </row>
    <row r="39" spans="1:5" x14ac:dyDescent="0.25">
      <c r="A39">
        <v>57456</v>
      </c>
      <c r="B39">
        <v>2076</v>
      </c>
      <c r="C39">
        <f t="shared" si="1"/>
        <v>0</v>
      </c>
      <c r="E39">
        <f t="shared" si="0"/>
        <v>0</v>
      </c>
    </row>
    <row r="40" spans="1:5" x14ac:dyDescent="0.25">
      <c r="A40">
        <v>58968</v>
      </c>
      <c r="B40">
        <v>2097</v>
      </c>
      <c r="C40">
        <f t="shared" si="1"/>
        <v>0</v>
      </c>
      <c r="E40">
        <f t="shared" si="0"/>
        <v>0</v>
      </c>
    </row>
    <row r="41" spans="1:5" x14ac:dyDescent="0.25">
      <c r="A41">
        <v>60480</v>
      </c>
      <c r="B41">
        <v>2117</v>
      </c>
      <c r="C41">
        <f t="shared" si="1"/>
        <v>0</v>
      </c>
      <c r="E41">
        <f t="shared" si="0"/>
        <v>0</v>
      </c>
    </row>
    <row r="42" spans="1:5" x14ac:dyDescent="0.25">
      <c r="A42">
        <v>61992</v>
      </c>
      <c r="B42">
        <v>2137</v>
      </c>
      <c r="C42">
        <f t="shared" si="1"/>
        <v>0</v>
      </c>
      <c r="E42">
        <f t="shared" si="0"/>
        <v>0</v>
      </c>
    </row>
    <row r="43" spans="1:5" x14ac:dyDescent="0.25">
      <c r="A43">
        <v>63504</v>
      </c>
      <c r="B43">
        <v>2157</v>
      </c>
      <c r="C43">
        <f t="shared" si="1"/>
        <v>0</v>
      </c>
      <c r="E43">
        <f t="shared" ref="E43:E61" si="2">IF(C43=0,0,B43*0.4)</f>
        <v>0</v>
      </c>
    </row>
    <row r="44" spans="1:5" x14ac:dyDescent="0.25">
      <c r="A44">
        <v>65016</v>
      </c>
      <c r="B44">
        <v>1177</v>
      </c>
      <c r="C44">
        <f t="shared" ref="C44:C60" si="3">IF($C$3&gt;A44,0,IF($C$3&gt;A43,B44,0))</f>
        <v>0</v>
      </c>
      <c r="E44">
        <f t="shared" si="2"/>
        <v>0</v>
      </c>
    </row>
    <row r="45" spans="1:5" x14ac:dyDescent="0.25">
      <c r="A45">
        <v>66528</v>
      </c>
      <c r="B45">
        <v>2197</v>
      </c>
      <c r="C45">
        <f t="shared" si="3"/>
        <v>0</v>
      </c>
      <c r="E45">
        <f t="shared" si="2"/>
        <v>0</v>
      </c>
    </row>
    <row r="46" spans="1:5" x14ac:dyDescent="0.25">
      <c r="A46">
        <v>68040</v>
      </c>
      <c r="B46">
        <v>2218</v>
      </c>
      <c r="C46">
        <f t="shared" si="3"/>
        <v>0</v>
      </c>
      <c r="E46">
        <f t="shared" si="2"/>
        <v>0</v>
      </c>
    </row>
    <row r="47" spans="1:5" x14ac:dyDescent="0.25">
      <c r="A47">
        <v>69552</v>
      </c>
      <c r="B47">
        <v>2238</v>
      </c>
      <c r="C47">
        <f t="shared" si="3"/>
        <v>0</v>
      </c>
      <c r="E47">
        <f t="shared" si="2"/>
        <v>0</v>
      </c>
    </row>
    <row r="48" spans="1:5" x14ac:dyDescent="0.25">
      <c r="A48">
        <v>71064</v>
      </c>
      <c r="B48">
        <v>2258</v>
      </c>
      <c r="C48">
        <f t="shared" si="3"/>
        <v>0</v>
      </c>
      <c r="E48">
        <f t="shared" si="2"/>
        <v>0</v>
      </c>
    </row>
    <row r="49" spans="1:5" x14ac:dyDescent="0.25">
      <c r="A49">
        <v>72576</v>
      </c>
      <c r="B49">
        <v>2278</v>
      </c>
      <c r="C49">
        <f t="shared" si="3"/>
        <v>0</v>
      </c>
      <c r="E49">
        <f t="shared" si="2"/>
        <v>0</v>
      </c>
    </row>
    <row r="50" spans="1:5" x14ac:dyDescent="0.25">
      <c r="A50">
        <v>74088</v>
      </c>
      <c r="B50">
        <v>2298</v>
      </c>
      <c r="C50">
        <f t="shared" si="3"/>
        <v>0</v>
      </c>
      <c r="E50">
        <f t="shared" si="2"/>
        <v>0</v>
      </c>
    </row>
    <row r="51" spans="1:5" x14ac:dyDescent="0.25">
      <c r="A51">
        <v>75600</v>
      </c>
      <c r="B51">
        <v>2318</v>
      </c>
      <c r="C51">
        <f t="shared" si="3"/>
        <v>0</v>
      </c>
      <c r="E51">
        <f t="shared" si="2"/>
        <v>0</v>
      </c>
    </row>
    <row r="52" spans="1:5" x14ac:dyDescent="0.25">
      <c r="A52">
        <v>77112</v>
      </c>
      <c r="B52">
        <v>2339</v>
      </c>
      <c r="C52">
        <f t="shared" si="3"/>
        <v>0</v>
      </c>
      <c r="E52">
        <f t="shared" si="2"/>
        <v>0</v>
      </c>
    </row>
    <row r="53" spans="1:5" x14ac:dyDescent="0.25">
      <c r="A53">
        <v>78624</v>
      </c>
      <c r="B53">
        <v>2359</v>
      </c>
      <c r="C53">
        <f t="shared" si="3"/>
        <v>0</v>
      </c>
      <c r="E53">
        <f t="shared" si="2"/>
        <v>0</v>
      </c>
    </row>
    <row r="54" spans="1:5" x14ac:dyDescent="0.25">
      <c r="A54">
        <v>80136</v>
      </c>
      <c r="B54">
        <v>2379</v>
      </c>
      <c r="C54">
        <f t="shared" si="3"/>
        <v>0</v>
      </c>
      <c r="E54">
        <f t="shared" si="2"/>
        <v>0</v>
      </c>
    </row>
    <row r="55" spans="1:5" x14ac:dyDescent="0.25">
      <c r="A55">
        <v>81648</v>
      </c>
      <c r="B55">
        <v>2399</v>
      </c>
      <c r="C55">
        <f t="shared" si="3"/>
        <v>0</v>
      </c>
      <c r="E55">
        <f t="shared" si="2"/>
        <v>0</v>
      </c>
    </row>
    <row r="56" spans="1:5" x14ac:dyDescent="0.25">
      <c r="A56">
        <v>83160</v>
      </c>
      <c r="B56">
        <v>2419</v>
      </c>
      <c r="C56">
        <f t="shared" si="3"/>
        <v>0</v>
      </c>
      <c r="E56">
        <f t="shared" si="2"/>
        <v>0</v>
      </c>
    </row>
    <row r="57" spans="1:5" x14ac:dyDescent="0.25">
      <c r="A57">
        <v>84672</v>
      </c>
      <c r="B57">
        <v>2439</v>
      </c>
      <c r="C57">
        <f t="shared" si="3"/>
        <v>0</v>
      </c>
      <c r="E57">
        <f t="shared" si="2"/>
        <v>0</v>
      </c>
    </row>
    <row r="58" spans="1:5" x14ac:dyDescent="0.25">
      <c r="A58">
        <v>86184</v>
      </c>
      <c r="B58">
        <v>2460</v>
      </c>
      <c r="C58">
        <f t="shared" si="3"/>
        <v>0</v>
      </c>
      <c r="E58">
        <f t="shared" si="2"/>
        <v>0</v>
      </c>
    </row>
    <row r="59" spans="1:5" x14ac:dyDescent="0.25">
      <c r="A59">
        <v>87696</v>
      </c>
      <c r="B59">
        <v>2480</v>
      </c>
      <c r="C59">
        <f t="shared" si="3"/>
        <v>0</v>
      </c>
      <c r="E59">
        <f t="shared" si="2"/>
        <v>0</v>
      </c>
    </row>
    <row r="60" spans="1:5" x14ac:dyDescent="0.25">
      <c r="A60">
        <v>89208</v>
      </c>
      <c r="B60">
        <v>2500</v>
      </c>
      <c r="C60">
        <f t="shared" si="3"/>
        <v>0</v>
      </c>
      <c r="E60">
        <f t="shared" si="2"/>
        <v>0</v>
      </c>
    </row>
    <row r="61" spans="1:5" x14ac:dyDescent="0.25">
      <c r="A61">
        <v>90720</v>
      </c>
      <c r="B61">
        <v>2520</v>
      </c>
      <c r="C61">
        <f>IF($C$3&gt;A61,B61,IF($C$3&gt;A60,B61,0))</f>
        <v>0</v>
      </c>
      <c r="E61">
        <f t="shared" si="2"/>
        <v>0</v>
      </c>
    </row>
    <row r="63" spans="1:5" x14ac:dyDescent="0.25">
      <c r="B63" t="s">
        <v>24</v>
      </c>
      <c r="C63" s="6">
        <f>C11+C12+C13+C14+C15+C16+C17+C18+C19+C20+C21+C22+C23+C24+C25+C26+C27+C28+C29+C30+C31+C32+C33+C34+C35+C36+C37+C38+C39+C40+C41+C42+C43+C44+C45+C46+C47+C48+C49+C50+C51+C52+C53+C54+C55+C56+C57+C58+C59+C60+C61</f>
        <v>1260</v>
      </c>
      <c r="D63" s="6"/>
      <c r="E63" s="6">
        <f>E11+E12+E13+E14+E15+E16+E17+E18+E19+E20+E21+E22+E23+E24+E25+E26+E27+E28+E29+E30+E31+E32+E33+E34+E35+E36+E37+E38+E39+E40+E41+E42+E43+E44+E45+E46+E47+E48+E49+E50+E51+E52+E53+E54+E55+E56+E57+E58+E59+E60+E61</f>
        <v>504</v>
      </c>
    </row>
    <row r="64" spans="1:5" x14ac:dyDescent="0.25">
      <c r="C64" s="6"/>
      <c r="D64" s="6"/>
      <c r="E64" s="6"/>
    </row>
    <row r="65" spans="2:5" x14ac:dyDescent="0.25">
      <c r="B65" t="s">
        <v>24</v>
      </c>
      <c r="C65" s="6">
        <f>C63/44*'PRIV-VALID.'!B82</f>
        <v>0</v>
      </c>
      <c r="D65" s="6"/>
      <c r="E65" s="6">
        <f>E63*scala44!B9</f>
        <v>0</v>
      </c>
    </row>
    <row r="66" spans="2:5" x14ac:dyDescent="0.25">
      <c r="C66" s="6"/>
      <c r="D66" s="6"/>
      <c r="E66" s="6"/>
    </row>
    <row r="67" spans="2:5" x14ac:dyDescent="0.25">
      <c r="B67" t="s">
        <v>25</v>
      </c>
      <c r="C67" s="6">
        <f>C65+E65</f>
        <v>0</v>
      </c>
      <c r="D67" s="6"/>
      <c r="E67" s="6"/>
    </row>
    <row r="68" spans="2:5" x14ac:dyDescent="0.25">
      <c r="C68" s="6"/>
      <c r="D68" s="6"/>
      <c r="E68" s="6"/>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Roman,Normale"&amp;12&amp;A</oddHeader>
    <oddFooter>&amp;C&amp;"Times New Roman,Normale"&amp;12Pagina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1B09B-708D-4EAD-A075-0A415A81ACD7}">
  <sheetPr codeName="Foglio10"/>
  <dimension ref="A1:R45"/>
  <sheetViews>
    <sheetView showGridLines="0" showRowColHeaders="0" zoomScale="110" zoomScaleNormal="110" zoomScalePageLayoutView="120" workbookViewId="0">
      <selection activeCell="G1" sqref="G1:K1"/>
    </sheetView>
  </sheetViews>
  <sheetFormatPr defaultColWidth="8.7265625" defaultRowHeight="15.5" x14ac:dyDescent="0.35"/>
  <cols>
    <col min="1" max="1" width="5.26953125" style="1" customWidth="1"/>
    <col min="2" max="2" width="11" style="1" customWidth="1"/>
    <col min="3" max="3" width="11.7265625" style="1" customWidth="1"/>
    <col min="4" max="4" width="14" style="1" customWidth="1"/>
    <col min="5" max="5" width="13.453125" style="1" customWidth="1"/>
    <col min="6" max="6" width="3" style="1" customWidth="1"/>
    <col min="7" max="7" width="8.7265625" style="1"/>
    <col min="8" max="8" width="14.81640625" style="1" customWidth="1"/>
    <col min="9" max="9" width="8.7265625" style="1"/>
    <col min="10" max="10" width="15.453125" style="1" customWidth="1"/>
    <col min="11" max="11" width="13" style="1" customWidth="1"/>
    <col min="12" max="12" width="1.81640625" style="1" customWidth="1"/>
    <col min="13" max="14" width="31.81640625" style="1" hidden="1" customWidth="1"/>
    <col min="15" max="15" width="19.81640625" style="1" hidden="1" customWidth="1"/>
    <col min="16" max="17" width="16.81640625" style="1" hidden="1" customWidth="1"/>
    <col min="18" max="18" width="12.54296875" style="1" hidden="1" customWidth="1"/>
    <col min="19" max="19" width="8.7265625" style="1" customWidth="1"/>
    <col min="20" max="16384" width="8.7265625" style="1"/>
  </cols>
  <sheetData>
    <row r="1" spans="1:18" x14ac:dyDescent="0.35">
      <c r="A1" s="265"/>
      <c r="B1" s="349"/>
      <c r="C1" s="349"/>
      <c r="D1" s="1348" t="str">
        <f>Traduzioni!$G$486</f>
        <v>Calcolo per</v>
      </c>
      <c r="E1" s="1349"/>
      <c r="F1" s="1349"/>
      <c r="G1" s="1349" t="str">
        <f>Traduzioni!$G$351</f>
        <v>SITUAZIONE ATTUALE PER IL FINANZIAMENTO:</v>
      </c>
      <c r="H1" s="1349"/>
      <c r="I1" s="1349"/>
      <c r="J1" s="1349"/>
      <c r="K1" s="1350"/>
      <c r="L1" s="356"/>
      <c r="M1" s="356"/>
      <c r="N1" s="356"/>
      <c r="O1" s="356"/>
      <c r="P1"/>
    </row>
    <row r="2" spans="1:18" x14ac:dyDescent="0.35">
      <c r="A2" s="111"/>
      <c r="B2"/>
      <c r="C2"/>
      <c r="D2" s="1256" t="str">
        <f>'RENDITE CLIENTE'!$A$2</f>
        <v>Calcolo effettuato da:</v>
      </c>
      <c r="E2" s="1257"/>
      <c r="F2" s="1257"/>
      <c r="G2" s="1257" t="str">
        <f>ANALYSIS!$B$3&amp;" - "&amp;'RENDITE CLIENTE'!$B$2</f>
        <v xml:space="preserve"> - NeoLife AG</v>
      </c>
      <c r="H2" s="1257"/>
      <c r="I2" s="1257"/>
      <c r="J2" s="1257"/>
      <c r="K2" s="1258"/>
      <c r="L2" s="356"/>
      <c r="M2" s="356"/>
      <c r="N2" s="356"/>
      <c r="O2" s="356"/>
      <c r="P2"/>
    </row>
    <row r="3" spans="1:18" x14ac:dyDescent="0.35">
      <c r="A3" s="111"/>
      <c r="B3"/>
      <c r="C3"/>
      <c r="D3" s="1256" t="str">
        <f>'RENDITE CLIENTE'!$A$3</f>
        <v>Parametri di calcolo:</v>
      </c>
      <c r="E3" s="1257"/>
      <c r="F3" s="1257"/>
      <c r="G3" s="1257" t="str">
        <f>'RENDITE CLIENTE'!$B$3&amp;" "&amp;ANALYSIS!$B$19</f>
        <v xml:space="preserve">Scala 44 AVS/AI/IPG + Info fornite da:  </v>
      </c>
      <c r="H3" s="1257"/>
      <c r="I3" s="1257"/>
      <c r="J3" s="1257"/>
      <c r="K3" s="1258"/>
      <c r="L3" s="356"/>
      <c r="M3" s="356"/>
      <c r="N3" s="356"/>
      <c r="O3" s="356"/>
      <c r="P3"/>
    </row>
    <row r="4" spans="1:18" ht="16" thickBot="1" x14ac:dyDescent="0.4">
      <c r="A4" s="269"/>
      <c r="B4" s="350"/>
      <c r="C4" s="350"/>
      <c r="D4" s="1259" t="str">
        <f>'RENDITE CLIENTE'!$A$4</f>
        <v>Calcolo del:</v>
      </c>
      <c r="E4" s="1260"/>
      <c r="F4" s="1260"/>
      <c r="G4" s="1261">
        <f ca="1">'RENDITE CLIENTE'!$B$4</f>
        <v>45680.292758449075</v>
      </c>
      <c r="H4" s="1261"/>
      <c r="I4" s="1261"/>
      <c r="J4" s="1261"/>
      <c r="K4" s="1262"/>
      <c r="L4" s="376"/>
      <c r="M4" s="376"/>
      <c r="N4" s="376"/>
      <c r="O4" s="376"/>
      <c r="P4"/>
    </row>
    <row r="5" spans="1:18" ht="8.25" customHeight="1" x14ac:dyDescent="0.4">
      <c r="A5" s="278"/>
      <c r="B5" s="279"/>
      <c r="C5" s="279"/>
      <c r="D5" s="279"/>
      <c r="E5" s="279"/>
    </row>
    <row r="6" spans="1:18" ht="14.15" customHeight="1" x14ac:dyDescent="0.35">
      <c r="A6" s="1339" t="str">
        <f>Traduzioni!G346</f>
        <v>Reddito lordo annuo totale:</v>
      </c>
      <c r="B6" s="1339"/>
      <c r="C6" s="1339"/>
      <c r="D6" s="1339"/>
      <c r="E6" s="378">
        <f>'PRIV-VALID.'!B14+'PRIV-VALID.'!B69</f>
        <v>0</v>
      </c>
      <c r="G6" s="1339" t="str">
        <f>Traduzioni!G359</f>
        <v>Capitale disonibile per acquisto</v>
      </c>
      <c r="H6" s="1339"/>
      <c r="I6" s="1339"/>
      <c r="J6" s="1339"/>
      <c r="K6" s="379">
        <f>'PRIV-VALID.'!B19+'PRIV-VALID.'!B74</f>
        <v>0</v>
      </c>
    </row>
    <row r="7" spans="1:18" ht="14.15" customHeight="1" x14ac:dyDescent="0.35">
      <c r="A7" s="1339" t="str">
        <f>Traduzioni!G347</f>
        <v>Costi totali annui per per leasing e crediti</v>
      </c>
      <c r="B7" s="1339"/>
      <c r="C7" s="1339"/>
      <c r="D7" s="1339"/>
      <c r="E7" s="378">
        <f>'PRIV-VALID.'!B73+'PRIV-VALID.'!B18+(K8/4)</f>
        <v>0</v>
      </c>
      <c r="G7" s="1339" t="str">
        <f>Traduzioni!G360</f>
        <v>Altre forme di capitale (affitto con riscatto, fidejussioni, ecc..)</v>
      </c>
      <c r="H7" s="1339"/>
      <c r="I7" s="1339"/>
      <c r="J7" s="1339"/>
      <c r="K7" s="600">
        <v>0</v>
      </c>
    </row>
    <row r="8" spans="1:18" ht="14.15" customHeight="1" x14ac:dyDescent="0.35">
      <c r="A8" s="1339" t="str">
        <f>Traduzioni!G348</f>
        <v>Incassi totali annui per affitti (per case plurifamigliari)</v>
      </c>
      <c r="B8" s="1339"/>
      <c r="C8" s="1339"/>
      <c r="D8" s="1339"/>
      <c r="E8" s="597">
        <v>0</v>
      </c>
      <c r="G8" s="1339" t="str">
        <f>Traduzioni!G361</f>
        <v>Credito per finanziamento olte l'80%</v>
      </c>
      <c r="H8" s="1339"/>
      <c r="I8" s="1339"/>
      <c r="J8" s="1339"/>
      <c r="K8" s="600">
        <v>0</v>
      </c>
    </row>
    <row r="9" spans="1:18" ht="14.15" customHeight="1" x14ac:dyDescent="0.35">
      <c r="A9" s="1339" t="str">
        <f>Traduzioni!G349</f>
        <v>Capitale disponibile attualmente su LPP:</v>
      </c>
      <c r="B9" s="1339"/>
      <c r="C9" s="1339"/>
      <c r="D9" s="1339"/>
      <c r="E9" s="378">
        <f>'PRIV-VALID.'!B30+'PRIV-VALID.'!B85</f>
        <v>0</v>
      </c>
      <c r="G9" s="1339" t="str">
        <f>Traduzioni!G362</f>
        <v>Risparmio annuo attuale:</v>
      </c>
      <c r="H9" s="1339"/>
      <c r="I9" s="1339"/>
      <c r="J9" s="1339"/>
      <c r="K9" s="380">
        <f>'PRIV-VALID.'!B20+'PRIV-VALID.'!B75</f>
        <v>0</v>
      </c>
    </row>
    <row r="10" spans="1:18" ht="14.15" customHeight="1" x14ac:dyDescent="0.35">
      <c r="A10" s="1339" t="str">
        <f>Traduzioni!G350</f>
        <v>Contributi totali  annui LPP:</v>
      </c>
      <c r="B10" s="1339"/>
      <c r="C10" s="1339"/>
      <c r="D10" s="1339"/>
      <c r="E10" s="378">
        <f>'PRIV-VALID.'!B31+'PRIV-VALID.'!B86</f>
        <v>0</v>
      </c>
      <c r="G10" s="1343" t="str">
        <f>Traduzioni!G363</f>
        <v>Risparmio annuo proposto:</v>
      </c>
      <c r="H10" s="1343"/>
      <c r="I10" s="1343"/>
      <c r="J10" s="1343"/>
      <c r="K10" s="381">
        <f>'PRIV-VALID.'!B21+'PRIV-VALID.'!B76</f>
        <v>0</v>
      </c>
    </row>
    <row r="11" spans="1:18" ht="9.65" customHeight="1" x14ac:dyDescent="0.35">
      <c r="A11" s="282"/>
      <c r="B11" s="282"/>
      <c r="C11" s="282"/>
      <c r="D11" s="282"/>
      <c r="E11" s="282"/>
    </row>
    <row r="12" spans="1:18" ht="14.15" customHeight="1" x14ac:dyDescent="0.35">
      <c r="A12" s="1342" t="str">
        <f>Traduzioni!G352</f>
        <v>Finanziamento massimo, dato il capitale proprio cash + 3 pil.</v>
      </c>
      <c r="B12" s="1342"/>
      <c r="C12" s="1342"/>
      <c r="D12" s="1342"/>
      <c r="E12" s="382">
        <f>((K6+K7+K8)/10*80)</f>
        <v>0</v>
      </c>
      <c r="G12" s="1340" t="str">
        <f>Traduzioni!G354</f>
        <v xml:space="preserve">Finanziamento massimo dato dalla sostenibilità del reddito: </v>
      </c>
      <c r="H12" s="1340"/>
      <c r="I12" s="1340"/>
      <c r="J12" s="1340"/>
      <c r="K12" s="1341">
        <f>((E6/3)-E7+E8)/7*100</f>
        <v>0</v>
      </c>
    </row>
    <row r="13" spans="1:18" ht="14.15" customHeight="1" x14ac:dyDescent="0.35">
      <c r="A13" s="1342" t="str">
        <f>Traduzioni!G353</f>
        <v>Finanziamento massimo dato il capitale proprio totale:</v>
      </c>
      <c r="B13" s="1342"/>
      <c r="C13" s="1342"/>
      <c r="D13" s="1342"/>
      <c r="E13" s="383">
        <f>(E9+K6+K7+K8)/20*80</f>
        <v>0</v>
      </c>
      <c r="G13" s="1340"/>
      <c r="H13" s="1340"/>
      <c r="I13" s="1340"/>
      <c r="J13" s="1340"/>
      <c r="K13" s="1341"/>
    </row>
    <row r="14" spans="1:18" ht="9.5" customHeight="1" x14ac:dyDescent="0.35"/>
    <row r="15" spans="1:18" ht="12.75" customHeight="1" x14ac:dyDescent="0.35">
      <c r="A15" s="1344" t="str">
        <f>Traduzioni!G355</f>
        <v>FINANZIABILITÀ NEL TEMPO CON RISPARMIO MENSILE:</v>
      </c>
      <c r="B15" s="1344"/>
      <c r="C15" s="1344"/>
      <c r="D15" s="1344"/>
      <c r="E15" s="1345">
        <f>K9/12</f>
        <v>0</v>
      </c>
    </row>
    <row r="16" spans="1:18" ht="21.5" customHeight="1" x14ac:dyDescent="0.35">
      <c r="A16" s="1344"/>
      <c r="B16" s="1344"/>
      <c r="C16" s="1344"/>
      <c r="D16" s="1344"/>
      <c r="E16" s="1345"/>
      <c r="M16" s="1346" t="s">
        <v>164</v>
      </c>
      <c r="N16" s="1346"/>
      <c r="O16" s="1346"/>
      <c r="P16" s="1" t="s">
        <v>165</v>
      </c>
      <c r="R16" s="1" t="s">
        <v>166</v>
      </c>
    </row>
    <row r="17" spans="1:18" ht="14.15" customHeight="1" x14ac:dyDescent="0.35">
      <c r="A17" s="277"/>
      <c r="B17" s="291" t="s">
        <v>167</v>
      </c>
      <c r="C17" s="291" t="str">
        <f>Traduzioni!G356</f>
        <v>LPP</v>
      </c>
      <c r="D17" s="291" t="str">
        <f>Traduzioni!G357</f>
        <v>Finanziamento</v>
      </c>
      <c r="E17" s="396" t="str">
        <f>Traduzioni!G358</f>
        <v>LIMITE DI ACQUISTO</v>
      </c>
      <c r="F17"/>
      <c r="M17" s="1" t="s">
        <v>171</v>
      </c>
      <c r="N17" s="1" t="s">
        <v>172</v>
      </c>
      <c r="O17" s="1" t="s">
        <v>173</v>
      </c>
      <c r="P17" s="1" t="s">
        <v>174</v>
      </c>
      <c r="Q17" s="1" t="s">
        <v>147</v>
      </c>
      <c r="R17" s="1" t="s">
        <v>175</v>
      </c>
    </row>
    <row r="18" spans="1:18" ht="14.15" customHeight="1" x14ac:dyDescent="0.35">
      <c r="A18" s="285">
        <f ca="1">'Parametri generali'!B6</f>
        <v>2025</v>
      </c>
      <c r="B18" s="283">
        <f>$K$6+$K$7+$K$8</f>
        <v>0</v>
      </c>
      <c r="C18" s="283">
        <f>$E$9</f>
        <v>0</v>
      </c>
      <c r="D18" s="283">
        <f t="shared" ref="D18:D23" ca="1" si="0">R18</f>
        <v>0</v>
      </c>
      <c r="E18" s="397">
        <f t="shared" ref="E18:E23" ca="1" si="1">IF((B18+C18+D18)&gt;(B18/10*100),(B18/10*100),(B18+C18+D18))</f>
        <v>0</v>
      </c>
      <c r="F18"/>
      <c r="M18" s="1">
        <f t="shared" ref="M18:M23" si="2">B18/10*80</f>
        <v>0</v>
      </c>
      <c r="N18" s="1">
        <f t="shared" ref="N18:N23" si="3">(B18+C18)/20*80</f>
        <v>0</v>
      </c>
      <c r="O18" s="1">
        <f t="shared" ref="O18:O23" si="4">IF(M18&lt;N18,M18,N18)</f>
        <v>0</v>
      </c>
      <c r="P18" s="1">
        <f>'PRIV-VALID.'!B113</f>
        <v>0</v>
      </c>
      <c r="Q18" s="81">
        <f>($E$6/3+$E$8-P18)/7*100</f>
        <v>0</v>
      </c>
      <c r="R18" s="82">
        <f ca="1">IF(O18&lt;Q18,O18*'calcoli Cliente'!$B$55,Q18*'calcoli Cliente'!$B$55)</f>
        <v>0</v>
      </c>
    </row>
    <row r="19" spans="1:18" ht="14.15" customHeight="1" x14ac:dyDescent="0.35">
      <c r="A19" s="285">
        <f ca="1">A18+1</f>
        <v>2026</v>
      </c>
      <c r="B19" s="283">
        <f>B18+'PRIV-VALID.'!B161</f>
        <v>0</v>
      </c>
      <c r="C19" s="283">
        <f>C18+$E$10</f>
        <v>0</v>
      </c>
      <c r="D19" s="283">
        <f t="shared" ca="1" si="0"/>
        <v>0</v>
      </c>
      <c r="E19" s="397">
        <f t="shared" ca="1" si="1"/>
        <v>0</v>
      </c>
      <c r="F19"/>
      <c r="M19" s="1">
        <f t="shared" si="2"/>
        <v>0</v>
      </c>
      <c r="N19" s="1">
        <f t="shared" si="3"/>
        <v>0</v>
      </c>
      <c r="O19" s="1">
        <f t="shared" si="4"/>
        <v>0</v>
      </c>
      <c r="P19" s="1">
        <f>'PRIV-VALID.'!B114</f>
        <v>0</v>
      </c>
      <c r="Q19" s="81">
        <f>('PRIV-VALID.'!B138/3+$E$8-P19)/7*100</f>
        <v>0</v>
      </c>
      <c r="R19" s="82">
        <f ca="1">IF(O19&lt;Q19,O19*'calcoli Cliente'!$B$55,Q19*'calcoli Cliente'!$B$55)</f>
        <v>0</v>
      </c>
    </row>
    <row r="20" spans="1:18" ht="14.15" customHeight="1" x14ac:dyDescent="0.35">
      <c r="A20" s="285">
        <f ca="1">A19+1</f>
        <v>2027</v>
      </c>
      <c r="B20" s="283">
        <f>B19+'PRIV-VALID.'!B162</f>
        <v>0</v>
      </c>
      <c r="C20" s="283">
        <f>C19+$E$10</f>
        <v>0</v>
      </c>
      <c r="D20" s="283">
        <f t="shared" ca="1" si="0"/>
        <v>0</v>
      </c>
      <c r="E20" s="397">
        <f t="shared" ca="1" si="1"/>
        <v>0</v>
      </c>
      <c r="F20"/>
      <c r="M20" s="1">
        <f t="shared" si="2"/>
        <v>0</v>
      </c>
      <c r="N20" s="1">
        <f t="shared" si="3"/>
        <v>0</v>
      </c>
      <c r="O20" s="1">
        <f t="shared" si="4"/>
        <v>0</v>
      </c>
      <c r="P20" s="1">
        <f>'PRIV-VALID.'!B115</f>
        <v>0</v>
      </c>
      <c r="Q20" s="81">
        <f>('PRIV-VALID.'!B139/3+$E$8-P20)/7*100</f>
        <v>0</v>
      </c>
      <c r="R20" s="82">
        <f ca="1">IF(O20&lt;Q20,O20*'calcoli Cliente'!$B$55,Q20*'calcoli Cliente'!$B$55)</f>
        <v>0</v>
      </c>
    </row>
    <row r="21" spans="1:18" ht="14.15" customHeight="1" x14ac:dyDescent="0.35">
      <c r="A21" s="285">
        <f ca="1">A20+1</f>
        <v>2028</v>
      </c>
      <c r="B21" s="283">
        <f>B20+'PRIV-VALID.'!B163</f>
        <v>0</v>
      </c>
      <c r="C21" s="283">
        <f>C20+$E$10</f>
        <v>0</v>
      </c>
      <c r="D21" s="283">
        <f t="shared" ca="1" si="0"/>
        <v>0</v>
      </c>
      <c r="E21" s="397">
        <f t="shared" ca="1" si="1"/>
        <v>0</v>
      </c>
      <c r="F21"/>
      <c r="M21" s="1">
        <f t="shared" si="2"/>
        <v>0</v>
      </c>
      <c r="N21" s="1">
        <f t="shared" si="3"/>
        <v>0</v>
      </c>
      <c r="O21" s="1">
        <f t="shared" si="4"/>
        <v>0</v>
      </c>
      <c r="P21" s="1">
        <f>'PRIV-VALID.'!B116</f>
        <v>0</v>
      </c>
      <c r="Q21" s="81">
        <f>('PRIV-VALID.'!B140/3+$E$8-P21)/7*100</f>
        <v>0</v>
      </c>
      <c r="R21" s="82">
        <f ca="1">IF(O21&lt;Q21,O21*'calcoli Cliente'!$B$55,Q21*'calcoli Cliente'!$B$55)</f>
        <v>0</v>
      </c>
    </row>
    <row r="22" spans="1:18" ht="14.15" customHeight="1" x14ac:dyDescent="0.35">
      <c r="A22" s="285">
        <f ca="1">A21+1</f>
        <v>2029</v>
      </c>
      <c r="B22" s="283">
        <f>B21+'PRIV-VALID.'!B164</f>
        <v>0</v>
      </c>
      <c r="C22" s="283">
        <f>C21+$E$10</f>
        <v>0</v>
      </c>
      <c r="D22" s="283">
        <f t="shared" ca="1" si="0"/>
        <v>0</v>
      </c>
      <c r="E22" s="397">
        <f t="shared" ca="1" si="1"/>
        <v>0</v>
      </c>
      <c r="F22"/>
      <c r="M22" s="1">
        <f t="shared" si="2"/>
        <v>0</v>
      </c>
      <c r="N22" s="1">
        <f t="shared" si="3"/>
        <v>0</v>
      </c>
      <c r="O22" s="1">
        <f t="shared" si="4"/>
        <v>0</v>
      </c>
      <c r="P22" s="1">
        <f>'PRIV-VALID.'!B117</f>
        <v>0</v>
      </c>
      <c r="Q22" s="81">
        <f>('PRIV-VALID.'!B141/3+$E$8-P22)/7*100</f>
        <v>0</v>
      </c>
      <c r="R22" s="82">
        <f ca="1">IF(O22&lt;Q22,O22*'calcoli Cliente'!$B$55,Q22*'calcoli Cliente'!$B$55)</f>
        <v>0</v>
      </c>
    </row>
    <row r="23" spans="1:18" ht="14.15" customHeight="1" x14ac:dyDescent="0.35">
      <c r="A23" s="285">
        <f ca="1">A22+1</f>
        <v>2030</v>
      </c>
      <c r="B23" s="283">
        <f>B22+'PRIV-VALID.'!B165</f>
        <v>0</v>
      </c>
      <c r="C23" s="283">
        <f>C22+$E$10</f>
        <v>0</v>
      </c>
      <c r="D23" s="283">
        <f t="shared" ca="1" si="0"/>
        <v>0</v>
      </c>
      <c r="E23" s="397">
        <f t="shared" ca="1" si="1"/>
        <v>0</v>
      </c>
      <c r="F23"/>
      <c r="M23" s="1">
        <f t="shared" si="2"/>
        <v>0</v>
      </c>
      <c r="N23" s="1">
        <f t="shared" si="3"/>
        <v>0</v>
      </c>
      <c r="O23" s="1">
        <f t="shared" si="4"/>
        <v>0</v>
      </c>
      <c r="P23" s="1">
        <f>'PRIV-VALID.'!B118</f>
        <v>0</v>
      </c>
      <c r="Q23" s="81">
        <f>('PRIV-VALID.'!B142/3+$E$8-P23)/7*100</f>
        <v>0</v>
      </c>
      <c r="R23" s="82">
        <f ca="1">IF(O23&lt;Q23,O23*'calcoli Cliente'!$B$55,Q23*'calcoli Cliente'!$B$55)</f>
        <v>0</v>
      </c>
    </row>
    <row r="24" spans="1:18" ht="11.25" customHeight="1" x14ac:dyDescent="0.35">
      <c r="A24" s="279"/>
      <c r="B24" s="286"/>
      <c r="C24" s="286"/>
      <c r="D24" s="286"/>
      <c r="E24" s="286"/>
      <c r="R24" s="82"/>
    </row>
    <row r="25" spans="1:18" ht="12.75" customHeight="1" x14ac:dyDescent="0.35">
      <c r="A25" s="1344" t="str">
        <f>A15</f>
        <v>FINANZIABILITÀ NEL TEMPO CON RISPARMIO MENSILE:</v>
      </c>
      <c r="B25" s="1347"/>
      <c r="C25" s="1347"/>
      <c r="D25" s="1347"/>
      <c r="E25" s="1345">
        <f>K10/12</f>
        <v>0</v>
      </c>
      <c r="R25" s="82"/>
    </row>
    <row r="26" spans="1:18" ht="15" customHeight="1" x14ac:dyDescent="0.35">
      <c r="A26" s="1347"/>
      <c r="B26" s="1347"/>
      <c r="C26" s="1347"/>
      <c r="D26" s="1347"/>
      <c r="E26" s="1345"/>
      <c r="F26" s="83"/>
      <c r="R26" s="82"/>
    </row>
    <row r="27" spans="1:18" ht="6" customHeight="1" x14ac:dyDescent="0.35">
      <c r="A27" s="1347"/>
      <c r="B27" s="1347"/>
      <c r="C27" s="1347"/>
      <c r="D27" s="1347"/>
      <c r="E27" s="1345"/>
      <c r="R27" s="82"/>
    </row>
    <row r="28" spans="1:18" ht="14.15" customHeight="1" x14ac:dyDescent="0.35">
      <c r="A28" s="277"/>
      <c r="B28" s="291" t="s">
        <v>167</v>
      </c>
      <c r="C28" s="291" t="str">
        <f>C17</f>
        <v>LPP</v>
      </c>
      <c r="D28" s="292" t="str">
        <f>D17</f>
        <v>Finanziamento</v>
      </c>
      <c r="E28" s="396" t="str">
        <f>E17</f>
        <v>LIMITE DI ACQUISTO</v>
      </c>
      <c r="F28"/>
      <c r="R28" s="82"/>
    </row>
    <row r="29" spans="1:18" ht="14.15" customHeight="1" x14ac:dyDescent="0.35">
      <c r="A29" s="285">
        <f t="shared" ref="A29:A34" ca="1" si="5">A18</f>
        <v>2025</v>
      </c>
      <c r="B29" s="283">
        <f>$K$6+$K$7+$K$8</f>
        <v>0</v>
      </c>
      <c r="C29" s="283">
        <f>$E$9</f>
        <v>0</v>
      </c>
      <c r="D29" s="283">
        <f t="shared" ref="D29:D34" ca="1" si="6">R29</f>
        <v>0</v>
      </c>
      <c r="E29" s="397">
        <f t="shared" ref="E29:E34" ca="1" si="7">IF((B29+C29+D29)&gt;(B29/10*100),(B29/10*100),(B29+C29+D29))</f>
        <v>0</v>
      </c>
      <c r="F29"/>
      <c r="M29" s="1">
        <f t="shared" ref="M29:M34" si="8">B29/10*80</f>
        <v>0</v>
      </c>
      <c r="N29" s="1">
        <f t="shared" ref="N29:N34" si="9">(B29+C29)/20*80</f>
        <v>0</v>
      </c>
      <c r="O29" s="1">
        <f t="shared" ref="O29:O34" si="10">IF(M29&lt;N29,M29,N29)</f>
        <v>0</v>
      </c>
      <c r="P29" s="1">
        <f>'PRIV-VALID.'!B124</f>
        <v>0</v>
      </c>
      <c r="Q29" s="81">
        <f>($E$6/3+$E$8-P29)/7*100</f>
        <v>0</v>
      </c>
      <c r="R29" s="82">
        <f ca="1">IF(O29&lt;Q29,O29*'calcoli Cliente'!$B$55,Q29*'calcoli Cliente'!$B$55)</f>
        <v>0</v>
      </c>
    </row>
    <row r="30" spans="1:18" ht="14.15" customHeight="1" x14ac:dyDescent="0.35">
      <c r="A30" s="285">
        <f t="shared" ca="1" si="5"/>
        <v>2026</v>
      </c>
      <c r="B30" s="283">
        <f>B29+'PRIV-VALID.'!B172</f>
        <v>0</v>
      </c>
      <c r="C30" s="283">
        <f>C29+$E$10</f>
        <v>0</v>
      </c>
      <c r="D30" s="283">
        <f t="shared" ca="1" si="6"/>
        <v>0</v>
      </c>
      <c r="E30" s="397">
        <f t="shared" ca="1" si="7"/>
        <v>0</v>
      </c>
      <c r="F30"/>
      <c r="M30" s="1">
        <f t="shared" si="8"/>
        <v>0</v>
      </c>
      <c r="N30" s="1">
        <f t="shared" si="9"/>
        <v>0</v>
      </c>
      <c r="O30" s="1">
        <f t="shared" si="10"/>
        <v>0</v>
      </c>
      <c r="P30" s="1">
        <f>'PRIV-VALID.'!B125</f>
        <v>0</v>
      </c>
      <c r="Q30" s="81">
        <f>('PRIV-VALID.'!B149/3+$E$8-P30)/7*100</f>
        <v>0</v>
      </c>
      <c r="R30" s="82">
        <f ca="1">IF(O30&lt;Q30,O30*'calcoli Cliente'!$B$55,Q30*'calcoli Cliente'!$B$55)</f>
        <v>0</v>
      </c>
    </row>
    <row r="31" spans="1:18" ht="14.15" customHeight="1" x14ac:dyDescent="0.35">
      <c r="A31" s="285">
        <f t="shared" ca="1" si="5"/>
        <v>2027</v>
      </c>
      <c r="B31" s="283">
        <f>B30+'PRIV-VALID.'!B173</f>
        <v>0</v>
      </c>
      <c r="C31" s="283">
        <f>C30+$E$10</f>
        <v>0</v>
      </c>
      <c r="D31" s="283">
        <f t="shared" ca="1" si="6"/>
        <v>0</v>
      </c>
      <c r="E31" s="397">
        <f t="shared" ca="1" si="7"/>
        <v>0</v>
      </c>
      <c r="F31"/>
      <c r="M31" s="1">
        <f t="shared" si="8"/>
        <v>0</v>
      </c>
      <c r="N31" s="1">
        <f t="shared" si="9"/>
        <v>0</v>
      </c>
      <c r="O31" s="1">
        <f t="shared" si="10"/>
        <v>0</v>
      </c>
      <c r="P31" s="1">
        <f>'PRIV-VALID.'!B126</f>
        <v>0</v>
      </c>
      <c r="Q31" s="81">
        <f>('PRIV-VALID.'!B150/3+$E$8-P31)/7*100</f>
        <v>0</v>
      </c>
      <c r="R31" s="82">
        <f ca="1">IF(O31&lt;Q31,O31*'calcoli Cliente'!$B$55,Q31*'calcoli Cliente'!$B$55)</f>
        <v>0</v>
      </c>
    </row>
    <row r="32" spans="1:18" ht="14.15" customHeight="1" x14ac:dyDescent="0.35">
      <c r="A32" s="285">
        <f t="shared" ca="1" si="5"/>
        <v>2028</v>
      </c>
      <c r="B32" s="283">
        <f>B31+'PRIV-VALID.'!B174</f>
        <v>0</v>
      </c>
      <c r="C32" s="283">
        <f>C31+$E$10</f>
        <v>0</v>
      </c>
      <c r="D32" s="283">
        <f t="shared" ca="1" si="6"/>
        <v>0</v>
      </c>
      <c r="E32" s="397">
        <f t="shared" ca="1" si="7"/>
        <v>0</v>
      </c>
      <c r="F32"/>
      <c r="M32" s="1">
        <f t="shared" si="8"/>
        <v>0</v>
      </c>
      <c r="N32" s="1">
        <f t="shared" si="9"/>
        <v>0</v>
      </c>
      <c r="O32" s="1">
        <f t="shared" si="10"/>
        <v>0</v>
      </c>
      <c r="P32" s="1">
        <f>'PRIV-VALID.'!B127</f>
        <v>0</v>
      </c>
      <c r="Q32" s="81">
        <f>('PRIV-VALID.'!B151/3+$E$8-P32)/7*100</f>
        <v>0</v>
      </c>
      <c r="R32" s="82">
        <f ca="1">IF(O32&lt;Q32,O32*'calcoli Cliente'!$B$55,Q32*'calcoli Cliente'!$B$55)</f>
        <v>0</v>
      </c>
    </row>
    <row r="33" spans="1:18" ht="14.15" customHeight="1" x14ac:dyDescent="0.35">
      <c r="A33" s="285">
        <f t="shared" ca="1" si="5"/>
        <v>2029</v>
      </c>
      <c r="B33" s="283">
        <f>B32+'PRIV-VALID.'!B175</f>
        <v>0</v>
      </c>
      <c r="C33" s="283">
        <f>C32+$E$10</f>
        <v>0</v>
      </c>
      <c r="D33" s="283">
        <f t="shared" ca="1" si="6"/>
        <v>0</v>
      </c>
      <c r="E33" s="397">
        <f t="shared" ca="1" si="7"/>
        <v>0</v>
      </c>
      <c r="F33"/>
      <c r="M33" s="1">
        <f t="shared" si="8"/>
        <v>0</v>
      </c>
      <c r="N33" s="1">
        <f t="shared" si="9"/>
        <v>0</v>
      </c>
      <c r="O33" s="1">
        <f t="shared" si="10"/>
        <v>0</v>
      </c>
      <c r="P33" s="1">
        <f>'PRIV-VALID.'!B128</f>
        <v>0</v>
      </c>
      <c r="Q33" s="81">
        <f>('PRIV-VALID.'!B152/3+$E$8-P33)/7*100</f>
        <v>0</v>
      </c>
      <c r="R33" s="82">
        <f ca="1">IF(O33&lt;Q33,O33*'calcoli Cliente'!$B$55,Q33*'calcoli Cliente'!$B$55)</f>
        <v>0</v>
      </c>
    </row>
    <row r="34" spans="1:18" ht="14.15" customHeight="1" x14ac:dyDescent="0.35">
      <c r="A34" s="285">
        <f t="shared" ca="1" si="5"/>
        <v>2030</v>
      </c>
      <c r="B34" s="283">
        <f>B33+'PRIV-VALID.'!B176</f>
        <v>0</v>
      </c>
      <c r="C34" s="283">
        <f>C33+$E$10</f>
        <v>0</v>
      </c>
      <c r="D34" s="283">
        <f t="shared" ca="1" si="6"/>
        <v>0</v>
      </c>
      <c r="E34" s="397">
        <f t="shared" ca="1" si="7"/>
        <v>0</v>
      </c>
      <c r="F34"/>
      <c r="M34" s="1">
        <f t="shared" si="8"/>
        <v>0</v>
      </c>
      <c r="N34" s="1">
        <f t="shared" si="9"/>
        <v>0</v>
      </c>
      <c r="O34" s="1">
        <f t="shared" si="10"/>
        <v>0</v>
      </c>
      <c r="P34" s="1">
        <f>'PRIV-VALID.'!B129</f>
        <v>0</v>
      </c>
      <c r="Q34" s="81">
        <f>('PRIV-VALID.'!B153/3+$E$8-P34)/7*100</f>
        <v>0</v>
      </c>
      <c r="R34" s="82">
        <f ca="1">IF(O34&lt;Q34,O34*'calcoli Cliente'!$B$55,Q34*'calcoli Cliente'!$B$55)</f>
        <v>0</v>
      </c>
    </row>
    <row r="35" spans="1:18" x14ac:dyDescent="0.35">
      <c r="B35" s="83"/>
      <c r="C35" s="83"/>
      <c r="D35" s="83"/>
      <c r="E35" s="83"/>
    </row>
    <row r="36" spans="1:18" x14ac:dyDescent="0.35">
      <c r="C36" s="83"/>
      <c r="D36" s="83"/>
      <c r="E36" s="83"/>
      <c r="F36" s="83"/>
    </row>
    <row r="37" spans="1:18" x14ac:dyDescent="0.35">
      <c r="C37" s="83"/>
      <c r="D37" s="83"/>
      <c r="E37" s="83"/>
      <c r="F37" s="83"/>
    </row>
    <row r="38" spans="1:18" x14ac:dyDescent="0.35">
      <c r="C38" s="83"/>
      <c r="D38" s="83"/>
      <c r="E38" s="83"/>
      <c r="F38" s="83"/>
    </row>
    <row r="39" spans="1:18" x14ac:dyDescent="0.35">
      <c r="C39" s="83"/>
      <c r="D39" s="83"/>
      <c r="E39" s="83"/>
      <c r="F39" s="83"/>
    </row>
    <row r="40" spans="1:18" x14ac:dyDescent="0.35">
      <c r="C40" s="83"/>
      <c r="D40" s="83"/>
      <c r="E40" s="83"/>
      <c r="F40" s="83"/>
    </row>
    <row r="41" spans="1:18" x14ac:dyDescent="0.35">
      <c r="C41" s="83"/>
      <c r="D41" s="83"/>
      <c r="E41" s="83"/>
      <c r="F41" s="83"/>
    </row>
    <row r="42" spans="1:18" x14ac:dyDescent="0.35">
      <c r="C42" s="83"/>
      <c r="D42" s="83"/>
      <c r="E42" s="83"/>
      <c r="F42" s="83"/>
    </row>
    <row r="43" spans="1:18" x14ac:dyDescent="0.35">
      <c r="C43" s="83"/>
      <c r="D43" s="83"/>
      <c r="E43" s="83"/>
      <c r="F43" s="83"/>
    </row>
    <row r="44" spans="1:18" x14ac:dyDescent="0.35">
      <c r="C44" s="83"/>
      <c r="D44" s="83"/>
      <c r="E44" s="83"/>
      <c r="F44" s="83"/>
    </row>
    <row r="45" spans="1:18" x14ac:dyDescent="0.35">
      <c r="C45" s="83"/>
      <c r="D45" s="83"/>
      <c r="E45" s="83"/>
      <c r="F45" s="83"/>
    </row>
  </sheetData>
  <sheetProtection sheet="1" objects="1" scenarios="1"/>
  <mergeCells count="27">
    <mergeCell ref="D1:F1"/>
    <mergeCell ref="D2:F2"/>
    <mergeCell ref="D3:F3"/>
    <mergeCell ref="D4:F4"/>
    <mergeCell ref="G1:K1"/>
    <mergeCell ref="G2:K2"/>
    <mergeCell ref="G3:K3"/>
    <mergeCell ref="G4:K4"/>
    <mergeCell ref="A15:D16"/>
    <mergeCell ref="E15:E16"/>
    <mergeCell ref="M16:O16"/>
    <mergeCell ref="A25:D27"/>
    <mergeCell ref="E25:E27"/>
    <mergeCell ref="K12:K13"/>
    <mergeCell ref="A12:D12"/>
    <mergeCell ref="A13:D13"/>
    <mergeCell ref="A8:D8"/>
    <mergeCell ref="G8:J8"/>
    <mergeCell ref="A9:D9"/>
    <mergeCell ref="G9:J9"/>
    <mergeCell ref="A10:D10"/>
    <mergeCell ref="G10:J10"/>
    <mergeCell ref="A6:D6"/>
    <mergeCell ref="G6:J6"/>
    <mergeCell ref="A7:D7"/>
    <mergeCell ref="G7:J7"/>
    <mergeCell ref="G12:J13"/>
  </mergeCells>
  <pageMargins left="0.70866141732283472" right="0.70866141732283472" top="0.74803149606299213" bottom="0.74803149606299213" header="0.31496062992125984" footer="0.31496062992125984"/>
  <pageSetup paperSize="9" scale="10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023B-B07E-4C8E-B771-64BD6DCD0F29}">
  <sheetPr codeName="Foglio11"/>
  <dimension ref="A1:R44"/>
  <sheetViews>
    <sheetView workbookViewId="0">
      <selection activeCell="E28" sqref="E28"/>
    </sheetView>
  </sheetViews>
  <sheetFormatPr defaultColWidth="8.7265625" defaultRowHeight="15.5" x14ac:dyDescent="0.35"/>
  <cols>
    <col min="1" max="1" width="5.26953125" style="1" customWidth="1"/>
    <col min="2" max="2" width="11" style="1" customWidth="1"/>
    <col min="3" max="3" width="11.7265625" style="1" customWidth="1"/>
    <col min="4" max="4" width="14" style="1" customWidth="1"/>
    <col min="5" max="5" width="13.453125" style="1" customWidth="1"/>
    <col min="6" max="6" width="3" style="1" customWidth="1"/>
    <col min="7" max="7" width="8.7265625" style="1"/>
    <col min="8" max="8" width="14.81640625" style="1" customWidth="1"/>
    <col min="9" max="9" width="8.7265625" style="1"/>
    <col min="10" max="10" width="15.453125" style="1" customWidth="1"/>
    <col min="11" max="11" width="9.54296875" style="1" customWidth="1"/>
    <col min="12" max="12" width="13.54296875" style="1" customWidth="1"/>
    <col min="13" max="14" width="31.81640625" style="1" hidden="1" customWidth="1"/>
    <col min="15" max="15" width="19.81640625" style="1" hidden="1" customWidth="1"/>
    <col min="16" max="17" width="16.81640625" style="1" hidden="1" customWidth="1"/>
    <col min="18" max="18" width="12.54296875" style="1" hidden="1" customWidth="1"/>
    <col min="19" max="16384" width="8.7265625" style="1"/>
  </cols>
  <sheetData>
    <row r="1" spans="1:18" ht="18" x14ac:dyDescent="0.4">
      <c r="A1" s="1351" t="str">
        <f>Traduzioni!G364</f>
        <v>Finanziabilità per AFFITTO CON RISCATTO:</v>
      </c>
      <c r="B1" s="1351"/>
      <c r="C1" s="1351"/>
      <c r="D1" s="1351"/>
      <c r="E1" s="1351"/>
      <c r="F1"/>
      <c r="G1" s="1352">
        <f xml:space="preserve"> 'PRIV-VALID.'!B10</f>
        <v>0</v>
      </c>
      <c r="H1" s="1352"/>
      <c r="I1" s="1352"/>
      <c r="J1" s="1352"/>
      <c r="K1" s="1352"/>
    </row>
    <row r="2" spans="1:18" ht="8.25" customHeight="1" x14ac:dyDescent="0.4">
      <c r="A2" s="278"/>
      <c r="B2" s="279"/>
      <c r="C2" s="279"/>
      <c r="D2" s="279"/>
      <c r="E2" s="279"/>
    </row>
    <row r="3" spans="1:18" ht="14.15" customHeight="1" x14ac:dyDescent="0.35">
      <c r="A3" s="1353" t="str">
        <f>'FUTURE-FINANZ.'!A6</f>
        <v>Reddito lordo annuo totale:</v>
      </c>
      <c r="B3" s="1353"/>
      <c r="C3" s="1353"/>
      <c r="D3" s="1353"/>
      <c r="E3" s="280">
        <f>'PRIV-VALID.'!B14+'PRIV-VALID.'!B69</f>
        <v>0</v>
      </c>
      <c r="G3" s="1353" t="str">
        <f>'FUTURE-FINANZ.'!G6</f>
        <v>Capitale disonibile per acquisto</v>
      </c>
      <c r="H3" s="1353"/>
      <c r="I3" s="1353"/>
      <c r="J3" s="1353"/>
      <c r="K3" s="280">
        <f>'PRIV-VALID.'!B19+'PRIV-VALID.'!B74</f>
        <v>0</v>
      </c>
    </row>
    <row r="4" spans="1:18" ht="14.15" customHeight="1" x14ac:dyDescent="0.35">
      <c r="A4" s="1353" t="str">
        <f>'FUTURE-FINANZ.'!A7</f>
        <v>Costi totali annui per per leasing e crediti</v>
      </c>
      <c r="B4" s="1353"/>
      <c r="C4" s="1353"/>
      <c r="D4" s="1353"/>
      <c r="E4" s="280">
        <f>'PRIV-VALID.'!B73+'PRIV-VALID.'!B18+(K5/4)</f>
        <v>0</v>
      </c>
      <c r="G4" s="1353" t="str">
        <f>'FUTURE-FINANZ.'!G7</f>
        <v>Altre forme di capitale (affitto con riscatto, fidejussioni, ecc..)</v>
      </c>
      <c r="H4" s="1353"/>
      <c r="I4" s="1353"/>
      <c r="J4" s="1353"/>
      <c r="K4" s="281">
        <v>50000</v>
      </c>
    </row>
    <row r="5" spans="1:18" ht="14.15" customHeight="1" x14ac:dyDescent="0.35">
      <c r="A5" s="1353" t="str">
        <f>'FUTURE-FINANZ.'!A8</f>
        <v>Incassi totali annui per affitti (per case plurifamigliari)</v>
      </c>
      <c r="B5" s="1353"/>
      <c r="C5" s="1353"/>
      <c r="D5" s="1353"/>
      <c r="E5" s="281">
        <v>0</v>
      </c>
      <c r="G5" s="1353" t="str">
        <f>'FUTURE-FINANZ.'!G8</f>
        <v>Credito per finanziamento olte l'80%</v>
      </c>
      <c r="H5" s="1353"/>
      <c r="I5" s="1353"/>
      <c r="J5" s="1353"/>
      <c r="K5" s="281">
        <v>0</v>
      </c>
    </row>
    <row r="6" spans="1:18" ht="14.15" customHeight="1" x14ac:dyDescent="0.35">
      <c r="A6" s="1353" t="str">
        <f>'FUTURE-FINANZ.'!A9</f>
        <v>Capitale disponibile attualmente su LPP:</v>
      </c>
      <c r="B6" s="1353"/>
      <c r="C6" s="1353"/>
      <c r="D6" s="1353"/>
      <c r="E6" s="280">
        <f>'PRIV-VALID.'!B30+'PRIV-VALID.'!B85</f>
        <v>0</v>
      </c>
      <c r="G6" s="1353" t="str">
        <f>'FUTURE-FINANZ.'!G9</f>
        <v>Risparmio annuo attuale:</v>
      </c>
      <c r="H6" s="1353"/>
      <c r="I6" s="1353"/>
      <c r="J6" s="1353"/>
      <c r="K6" s="287">
        <f>'PRIV-VALID.'!B20+'PRIV-VALID.'!B75</f>
        <v>0</v>
      </c>
    </row>
    <row r="7" spans="1:18" ht="14.15" customHeight="1" x14ac:dyDescent="0.35">
      <c r="A7" s="1353" t="str">
        <f>'FUTURE-FINANZ.'!A10</f>
        <v>Contributi totali  annui LPP:</v>
      </c>
      <c r="B7" s="1353"/>
      <c r="C7" s="1353"/>
      <c r="D7" s="1353"/>
      <c r="E7" s="280">
        <f>'PRIV-VALID.'!B31+'PRIV-VALID.'!B86</f>
        <v>0</v>
      </c>
      <c r="G7" s="1354" t="str">
        <f>'FUTURE-FINANZ.'!G10</f>
        <v>Risparmio annuo proposto:</v>
      </c>
      <c r="H7" s="1355"/>
      <c r="I7" s="1355"/>
      <c r="J7" s="1356"/>
      <c r="K7" s="288">
        <f>'PRIV-VALID.'!B21+'PRIV-VALID.'!B76</f>
        <v>0</v>
      </c>
    </row>
    <row r="8" spans="1:18" ht="9.65" customHeight="1" x14ac:dyDescent="0.35">
      <c r="A8" s="282"/>
      <c r="B8" s="282"/>
      <c r="C8" s="282"/>
      <c r="D8" s="282"/>
      <c r="E8" s="282"/>
    </row>
    <row r="9" spans="1:18" ht="18" x14ac:dyDescent="0.4">
      <c r="A9" s="1357" t="e">
        <f>'FUTURE-FINANZ.'!#REF!</f>
        <v>#REF!</v>
      </c>
      <c r="B9" s="1357"/>
      <c r="C9" s="1357"/>
      <c r="D9" s="1357"/>
      <c r="E9" s="1357"/>
      <c r="G9" s="1358"/>
      <c r="H9" s="1358"/>
      <c r="I9" s="1358"/>
      <c r="J9" s="1358"/>
      <c r="K9" s="1358"/>
      <c r="L9" s="72">
        <f ca="1">IF(K3/5*100&lt;E17,E17/20,"")</f>
        <v>2500</v>
      </c>
    </row>
    <row r="10" spans="1:18" ht="14.15" customHeight="1" x14ac:dyDescent="0.35">
      <c r="A10" s="1359" t="str">
        <f>'FUTURE-FINANZ.'!A12</f>
        <v>Finanziamento massimo, dato il capitale proprio cash + 3 pil.</v>
      </c>
      <c r="B10" s="1359"/>
      <c r="C10" s="1359"/>
      <c r="D10" s="1359"/>
      <c r="E10" s="289">
        <f>((K3+K4+K5)/10*80)</f>
        <v>400000</v>
      </c>
      <c r="G10" s="1360"/>
      <c r="H10" s="1360"/>
      <c r="I10" s="1360"/>
      <c r="J10" s="1360"/>
      <c r="K10" s="1360"/>
    </row>
    <row r="11" spans="1:18" ht="14.15" customHeight="1" x14ac:dyDescent="0.35">
      <c r="A11" s="1359" t="str">
        <f>'FUTURE-FINANZ.'!A13</f>
        <v>Finanziamento massimo dato il capitale proprio totale:</v>
      </c>
      <c r="B11" s="1359"/>
      <c r="C11" s="1359"/>
      <c r="D11" s="1359"/>
      <c r="E11" s="290">
        <f>(E6+K3+K4+K5)/20*80</f>
        <v>200000</v>
      </c>
      <c r="G11" s="1360" t="str">
        <f>IF([1]Foglio1!B1&gt;[1]Foglio1!B2,"",[1]Foglio1!B6)</f>
        <v/>
      </c>
      <c r="H11" s="1360"/>
      <c r="I11" s="1360"/>
      <c r="J11" s="1360"/>
      <c r="K11" s="1360"/>
    </row>
    <row r="12" spans="1:18" ht="14.15" customHeight="1" x14ac:dyDescent="0.35">
      <c r="A12" s="1359" t="str">
        <f>'FUTURE-FINANZ.'!G12</f>
        <v xml:space="preserve">Finanziamento massimo dato dalla sostenibilità del reddito: </v>
      </c>
      <c r="B12" s="1359"/>
      <c r="C12" s="1359"/>
      <c r="D12" s="1359"/>
      <c r="E12" s="290">
        <f>((E3/3)-E4+E5)/7*100</f>
        <v>0</v>
      </c>
    </row>
    <row r="13" spans="1:18" ht="10.5" customHeight="1" x14ac:dyDescent="0.35">
      <c r="A13" s="284"/>
      <c r="B13" s="284"/>
      <c r="C13" s="284"/>
      <c r="D13" s="284"/>
      <c r="E13" s="293"/>
    </row>
    <row r="14" spans="1:18" ht="12.75" customHeight="1" x14ac:dyDescent="0.35">
      <c r="A14" s="1344" t="str">
        <f>'FUTURE-FINANZ.'!A15</f>
        <v>FINANZIABILITÀ NEL TEMPO CON RISPARMIO MENSILE:</v>
      </c>
      <c r="B14" s="1344"/>
      <c r="C14" s="1344"/>
      <c r="D14" s="1344"/>
      <c r="E14" s="1345">
        <f>K6/12</f>
        <v>0</v>
      </c>
    </row>
    <row r="15" spans="1:18" ht="29.25" customHeight="1" x14ac:dyDescent="0.35">
      <c r="A15" s="1344"/>
      <c r="B15" s="1344"/>
      <c r="C15" s="1344"/>
      <c r="D15" s="1344"/>
      <c r="E15" s="1345"/>
      <c r="M15" s="1346" t="s">
        <v>164</v>
      </c>
      <c r="N15" s="1346"/>
      <c r="O15" s="1346"/>
      <c r="P15" s="1" t="s">
        <v>165</v>
      </c>
      <c r="R15" s="1" t="s">
        <v>166</v>
      </c>
    </row>
    <row r="16" spans="1:18" ht="14.15" customHeight="1" x14ac:dyDescent="0.35">
      <c r="A16" s="294"/>
      <c r="B16" s="294" t="s">
        <v>167</v>
      </c>
      <c r="C16" s="294" t="str">
        <f>'FUTURE-FINANZ.'!C17</f>
        <v>LPP</v>
      </c>
      <c r="D16" s="294" t="str">
        <f>'FUTURE-FINANZ.'!D17</f>
        <v>Finanziamento</v>
      </c>
      <c r="E16" s="295" t="str">
        <f>'FUTURE-FINANZ.'!E17</f>
        <v>LIMITE DI ACQUISTO</v>
      </c>
      <c r="F16"/>
      <c r="M16" s="1" t="s">
        <v>171</v>
      </c>
      <c r="N16" s="1" t="s">
        <v>172</v>
      </c>
      <c r="O16" s="1" t="s">
        <v>173</v>
      </c>
      <c r="P16" s="1" t="s">
        <v>174</v>
      </c>
      <c r="Q16" s="1" t="s">
        <v>147</v>
      </c>
      <c r="R16" s="1" t="s">
        <v>175</v>
      </c>
    </row>
    <row r="17" spans="1:18" ht="14.15" customHeight="1" x14ac:dyDescent="0.35">
      <c r="A17" s="296">
        <f ca="1">'Parametri generali'!B6</f>
        <v>2025</v>
      </c>
      <c r="B17" s="297">
        <f>$K$3+$K$4+$K$5</f>
        <v>50000</v>
      </c>
      <c r="C17" s="297">
        <f>$E$6</f>
        <v>0</v>
      </c>
      <c r="D17" s="297">
        <f t="shared" ref="D17:D22" ca="1" si="0">R17</f>
        <v>0</v>
      </c>
      <c r="E17" s="298">
        <f t="shared" ref="E17:E22" ca="1" si="1">IF((B17+C17+D17)&gt;(B17/10*100),(B17/10*100),(B17+C17+D17))</f>
        <v>50000</v>
      </c>
      <c r="F17"/>
      <c r="M17" s="1">
        <f t="shared" ref="M17:M22" si="2">B17/10*80</f>
        <v>400000</v>
      </c>
      <c r="N17" s="1">
        <f t="shared" ref="N17:N22" si="3">(B17+C17)/20*80</f>
        <v>200000</v>
      </c>
      <c r="O17" s="1">
        <f t="shared" ref="O17:O22" si="4">IF(M17&lt;N17,M17,N17)</f>
        <v>200000</v>
      </c>
      <c r="P17" s="1">
        <f>'PRIV-VALID.'!B113</f>
        <v>0</v>
      </c>
      <c r="Q17" s="81">
        <f>($E$3/3+$E$5-P17)/7*100</f>
        <v>0</v>
      </c>
      <c r="R17" s="82">
        <f ca="1">IF(O17&lt;Q17,O17*'calcoli Cliente'!$B$55,Q17*'calcoli Cliente'!$B$55)</f>
        <v>0</v>
      </c>
    </row>
    <row r="18" spans="1:18" ht="14.15" customHeight="1" x14ac:dyDescent="0.35">
      <c r="A18" s="296">
        <f ca="1">A17+1</f>
        <v>2026</v>
      </c>
      <c r="B18" s="297">
        <f>B17+'PRIV-VALID.'!B161</f>
        <v>50000</v>
      </c>
      <c r="C18" s="297">
        <f>C17+$E$7</f>
        <v>0</v>
      </c>
      <c r="D18" s="297">
        <f t="shared" ca="1" si="0"/>
        <v>0</v>
      </c>
      <c r="E18" s="298">
        <f t="shared" ca="1" si="1"/>
        <v>50000</v>
      </c>
      <c r="F18"/>
      <c r="M18" s="1">
        <f t="shared" si="2"/>
        <v>400000</v>
      </c>
      <c r="N18" s="1">
        <f t="shared" si="3"/>
        <v>200000</v>
      </c>
      <c r="O18" s="1">
        <f t="shared" si="4"/>
        <v>200000</v>
      </c>
      <c r="P18" s="1">
        <f>'PRIV-VALID.'!B114</f>
        <v>0</v>
      </c>
      <c r="Q18" s="81">
        <f>('PRIV-VALID.'!B138/3+$E$5-P18)/7*100</f>
        <v>0</v>
      </c>
      <c r="R18" s="82">
        <f ca="1">IF(O18&lt;Q18,O18*'calcoli Cliente'!$B$55,Q18*'calcoli Cliente'!$B$55)</f>
        <v>0</v>
      </c>
    </row>
    <row r="19" spans="1:18" ht="14.15" customHeight="1" x14ac:dyDescent="0.35">
      <c r="A19" s="296">
        <f ca="1">A18+1</f>
        <v>2027</v>
      </c>
      <c r="B19" s="297">
        <f>B18+'PRIV-VALID.'!B162</f>
        <v>50000</v>
      </c>
      <c r="C19" s="297">
        <f>C18+$E$7</f>
        <v>0</v>
      </c>
      <c r="D19" s="297">
        <f t="shared" ca="1" si="0"/>
        <v>0</v>
      </c>
      <c r="E19" s="298">
        <f t="shared" ca="1" si="1"/>
        <v>50000</v>
      </c>
      <c r="F19"/>
      <c r="M19" s="1">
        <f t="shared" si="2"/>
        <v>400000</v>
      </c>
      <c r="N19" s="1">
        <f t="shared" si="3"/>
        <v>200000</v>
      </c>
      <c r="O19" s="1">
        <f t="shared" si="4"/>
        <v>200000</v>
      </c>
      <c r="P19" s="1">
        <f>'PRIV-VALID.'!B115</f>
        <v>0</v>
      </c>
      <c r="Q19" s="81">
        <f>('PRIV-VALID.'!B139/3+$E$5-P19)/7*100</f>
        <v>0</v>
      </c>
      <c r="R19" s="82">
        <f ca="1">IF(O19&lt;Q19,O19*'calcoli Cliente'!$B$55,Q19*'calcoli Cliente'!$B$55)</f>
        <v>0</v>
      </c>
    </row>
    <row r="20" spans="1:18" ht="14.15" customHeight="1" x14ac:dyDescent="0.35">
      <c r="A20" s="296">
        <f ca="1">A19+1</f>
        <v>2028</v>
      </c>
      <c r="B20" s="297">
        <f>B19+'PRIV-VALID.'!B163</f>
        <v>50000</v>
      </c>
      <c r="C20" s="297">
        <f>C19+$E$7</f>
        <v>0</v>
      </c>
      <c r="D20" s="297">
        <f t="shared" ca="1" si="0"/>
        <v>0</v>
      </c>
      <c r="E20" s="298">
        <f t="shared" ca="1" si="1"/>
        <v>50000</v>
      </c>
      <c r="F20"/>
      <c r="M20" s="1">
        <f t="shared" si="2"/>
        <v>400000</v>
      </c>
      <c r="N20" s="1">
        <f t="shared" si="3"/>
        <v>200000</v>
      </c>
      <c r="O20" s="1">
        <f t="shared" si="4"/>
        <v>200000</v>
      </c>
      <c r="P20" s="1">
        <f>'PRIV-VALID.'!B116</f>
        <v>0</v>
      </c>
      <c r="Q20" s="81">
        <f>('PRIV-VALID.'!B140/3+$E$5-P20)/7*100</f>
        <v>0</v>
      </c>
      <c r="R20" s="82">
        <f ca="1">IF(O20&lt;Q20,O20*'calcoli Cliente'!$B$55,Q20*'calcoli Cliente'!$B$55)</f>
        <v>0</v>
      </c>
    </row>
    <row r="21" spans="1:18" ht="14.15" customHeight="1" x14ac:dyDescent="0.35">
      <c r="A21" s="296">
        <f ca="1">A20+1</f>
        <v>2029</v>
      </c>
      <c r="B21" s="297">
        <f>B20+'PRIV-VALID.'!B164</f>
        <v>50000</v>
      </c>
      <c r="C21" s="297">
        <f>C20+$E$7</f>
        <v>0</v>
      </c>
      <c r="D21" s="297">
        <f t="shared" ca="1" si="0"/>
        <v>0</v>
      </c>
      <c r="E21" s="298">
        <f t="shared" ca="1" si="1"/>
        <v>50000</v>
      </c>
      <c r="F21"/>
      <c r="M21" s="1">
        <f t="shared" si="2"/>
        <v>400000</v>
      </c>
      <c r="N21" s="1">
        <f t="shared" si="3"/>
        <v>200000</v>
      </c>
      <c r="O21" s="1">
        <f t="shared" si="4"/>
        <v>200000</v>
      </c>
      <c r="P21" s="1">
        <f>'PRIV-VALID.'!B117</f>
        <v>0</v>
      </c>
      <c r="Q21" s="81">
        <f>('PRIV-VALID.'!B141/3+$E$5-P21)/7*100</f>
        <v>0</v>
      </c>
      <c r="R21" s="82">
        <f ca="1">IF(O21&lt;Q21,O21*'calcoli Cliente'!$B$55,Q21*'calcoli Cliente'!$B$55)</f>
        <v>0</v>
      </c>
    </row>
    <row r="22" spans="1:18" ht="14.15" customHeight="1" x14ac:dyDescent="0.35">
      <c r="A22" s="296">
        <f ca="1">A21+1</f>
        <v>2030</v>
      </c>
      <c r="B22" s="297">
        <f>B21+'PRIV-VALID.'!B165</f>
        <v>50000</v>
      </c>
      <c r="C22" s="297">
        <f>C21+$E$7</f>
        <v>0</v>
      </c>
      <c r="D22" s="297">
        <f t="shared" ca="1" si="0"/>
        <v>0</v>
      </c>
      <c r="E22" s="298">
        <f t="shared" ca="1" si="1"/>
        <v>50000</v>
      </c>
      <c r="F22"/>
      <c r="M22" s="1">
        <f t="shared" si="2"/>
        <v>400000</v>
      </c>
      <c r="N22" s="1">
        <f t="shared" si="3"/>
        <v>200000</v>
      </c>
      <c r="O22" s="1">
        <f t="shared" si="4"/>
        <v>200000</v>
      </c>
      <c r="P22" s="1">
        <f>'PRIV-VALID.'!B118</f>
        <v>0</v>
      </c>
      <c r="Q22" s="81">
        <f>('PRIV-VALID.'!B142/3+$E$5-P22)/7*100</f>
        <v>0</v>
      </c>
      <c r="R22" s="82">
        <f ca="1">IF(O22&lt;Q22,O22*'calcoli Cliente'!$B$55,Q22*'calcoli Cliente'!$B$55)</f>
        <v>0</v>
      </c>
    </row>
    <row r="23" spans="1:18" ht="11.25" customHeight="1" x14ac:dyDescent="0.35">
      <c r="A23" s="299"/>
      <c r="B23" s="300"/>
      <c r="C23" s="300"/>
      <c r="D23" s="300"/>
      <c r="E23" s="300"/>
      <c r="R23" s="82"/>
    </row>
    <row r="24" spans="1:18" ht="12.75" customHeight="1" x14ac:dyDescent="0.35">
      <c r="A24" s="1344" t="s">
        <v>163</v>
      </c>
      <c r="B24" s="1347"/>
      <c r="C24" s="1347"/>
      <c r="D24" s="1347"/>
      <c r="E24" s="1345">
        <f>K7/12</f>
        <v>0</v>
      </c>
      <c r="R24" s="82"/>
    </row>
    <row r="25" spans="1:18" ht="15" customHeight="1" x14ac:dyDescent="0.35">
      <c r="A25" s="1347"/>
      <c r="B25" s="1347"/>
      <c r="C25" s="1347"/>
      <c r="D25" s="1347"/>
      <c r="E25" s="1345"/>
      <c r="F25" s="83"/>
      <c r="R25" s="82"/>
    </row>
    <row r="26" spans="1:18" ht="15" customHeight="1" x14ac:dyDescent="0.35">
      <c r="A26" s="1347"/>
      <c r="B26" s="1347"/>
      <c r="C26" s="1347"/>
      <c r="D26" s="1347"/>
      <c r="E26" s="1345"/>
      <c r="R26" s="82"/>
    </row>
    <row r="27" spans="1:18" ht="14.15" customHeight="1" x14ac:dyDescent="0.35">
      <c r="A27" s="294"/>
      <c r="B27" s="294" t="s">
        <v>167</v>
      </c>
      <c r="C27" s="294" t="str">
        <f>C16</f>
        <v>LPP</v>
      </c>
      <c r="D27" s="294" t="str">
        <f>D16</f>
        <v>Finanziamento</v>
      </c>
      <c r="E27" s="295" t="str">
        <f>E16</f>
        <v>LIMITE DI ACQUISTO</v>
      </c>
      <c r="F27"/>
      <c r="R27" s="82"/>
    </row>
    <row r="28" spans="1:18" ht="14.15" customHeight="1" x14ac:dyDescent="0.35">
      <c r="A28" s="296">
        <f t="shared" ref="A28:A33" ca="1" si="5">A17</f>
        <v>2025</v>
      </c>
      <c r="B28" s="297">
        <f>$K$3+$K$4+$K$5</f>
        <v>50000</v>
      </c>
      <c r="C28" s="297">
        <f>$E$6</f>
        <v>0</v>
      </c>
      <c r="D28" s="297">
        <f t="shared" ref="D28:D33" ca="1" si="6">R28</f>
        <v>0</v>
      </c>
      <c r="E28" s="298">
        <f t="shared" ref="E28:E33" ca="1" si="7">IF((B28+C28+D28)&gt;(B28/10*100),(B28/10*100),(B28+C28+D28))</f>
        <v>50000</v>
      </c>
      <c r="F28"/>
      <c r="M28" s="1">
        <f t="shared" ref="M28:M33" si="8">B28/10*80</f>
        <v>400000</v>
      </c>
      <c r="N28" s="1">
        <f t="shared" ref="N28:N33" si="9">(B28+C28)/20*80</f>
        <v>200000</v>
      </c>
      <c r="O28" s="1">
        <f t="shared" ref="O28:O33" si="10">IF(M28&lt;N28,M28,N28)</f>
        <v>200000</v>
      </c>
      <c r="P28" s="1">
        <f>'PRIV-VALID.'!B124</f>
        <v>0</v>
      </c>
      <c r="Q28" s="81">
        <f>($E$3/3+$E$5-P28)/7*100</f>
        <v>0</v>
      </c>
      <c r="R28" s="82">
        <f ca="1">IF(O28&lt;Q28,O28*'calcoli Cliente'!$B$55,Q28*'calcoli Cliente'!$B$55)</f>
        <v>0</v>
      </c>
    </row>
    <row r="29" spans="1:18" ht="14.15" customHeight="1" x14ac:dyDescent="0.35">
      <c r="A29" s="296">
        <f t="shared" ca="1" si="5"/>
        <v>2026</v>
      </c>
      <c r="B29" s="297">
        <f>B28+'PRIV-VALID.'!B172</f>
        <v>50000</v>
      </c>
      <c r="C29" s="297">
        <f>C28+$E$7</f>
        <v>0</v>
      </c>
      <c r="D29" s="297">
        <f t="shared" ca="1" si="6"/>
        <v>0</v>
      </c>
      <c r="E29" s="298">
        <f t="shared" ca="1" si="7"/>
        <v>50000</v>
      </c>
      <c r="F29"/>
      <c r="M29" s="1">
        <f t="shared" si="8"/>
        <v>400000</v>
      </c>
      <c r="N29" s="1">
        <f t="shared" si="9"/>
        <v>200000</v>
      </c>
      <c r="O29" s="1">
        <f t="shared" si="10"/>
        <v>200000</v>
      </c>
      <c r="P29" s="1">
        <f>'PRIV-VALID.'!B125</f>
        <v>0</v>
      </c>
      <c r="Q29" s="81">
        <f>('PRIV-VALID.'!B149/3+$E$5-P29)/7*100</f>
        <v>0</v>
      </c>
      <c r="R29" s="82">
        <f ca="1">IF(O29&lt;Q29,O29*'calcoli Cliente'!$B$55,Q29*'calcoli Cliente'!$B$55)</f>
        <v>0</v>
      </c>
    </row>
    <row r="30" spans="1:18" ht="14.15" customHeight="1" x14ac:dyDescent="0.35">
      <c r="A30" s="296">
        <f t="shared" ca="1" si="5"/>
        <v>2027</v>
      </c>
      <c r="B30" s="297">
        <f>B29+'PRIV-VALID.'!B173</f>
        <v>50000</v>
      </c>
      <c r="C30" s="297">
        <f>C29+$E$7</f>
        <v>0</v>
      </c>
      <c r="D30" s="297">
        <f t="shared" ca="1" si="6"/>
        <v>0</v>
      </c>
      <c r="E30" s="298">
        <f t="shared" ca="1" si="7"/>
        <v>50000</v>
      </c>
      <c r="F30"/>
      <c r="M30" s="1">
        <f t="shared" si="8"/>
        <v>400000</v>
      </c>
      <c r="N30" s="1">
        <f t="shared" si="9"/>
        <v>200000</v>
      </c>
      <c r="O30" s="1">
        <f t="shared" si="10"/>
        <v>200000</v>
      </c>
      <c r="P30" s="1">
        <f>'PRIV-VALID.'!B126</f>
        <v>0</v>
      </c>
      <c r="Q30" s="81">
        <f>('PRIV-VALID.'!B150/3+$E$5-P30)/7*100</f>
        <v>0</v>
      </c>
      <c r="R30" s="82">
        <f ca="1">IF(O30&lt;Q30,O30*'calcoli Cliente'!$B$55,Q30*'calcoli Cliente'!$B$55)</f>
        <v>0</v>
      </c>
    </row>
    <row r="31" spans="1:18" ht="14.15" customHeight="1" x14ac:dyDescent="0.35">
      <c r="A31" s="296">
        <f t="shared" ca="1" si="5"/>
        <v>2028</v>
      </c>
      <c r="B31" s="297">
        <f>B30+'PRIV-VALID.'!B174</f>
        <v>50000</v>
      </c>
      <c r="C31" s="297">
        <f>C30+$E$7</f>
        <v>0</v>
      </c>
      <c r="D31" s="297">
        <f t="shared" ca="1" si="6"/>
        <v>0</v>
      </c>
      <c r="E31" s="298">
        <f t="shared" ca="1" si="7"/>
        <v>50000</v>
      </c>
      <c r="F31"/>
      <c r="M31" s="1">
        <f t="shared" si="8"/>
        <v>400000</v>
      </c>
      <c r="N31" s="1">
        <f t="shared" si="9"/>
        <v>200000</v>
      </c>
      <c r="O31" s="1">
        <f t="shared" si="10"/>
        <v>200000</v>
      </c>
      <c r="P31" s="1">
        <f>'PRIV-VALID.'!B127</f>
        <v>0</v>
      </c>
      <c r="Q31" s="81">
        <f>('PRIV-VALID.'!B151/3+$E$5-P31)/7*100</f>
        <v>0</v>
      </c>
      <c r="R31" s="82">
        <f ca="1">IF(O31&lt;Q31,O31*'calcoli Cliente'!$B$55,Q31*'calcoli Cliente'!$B$55)</f>
        <v>0</v>
      </c>
    </row>
    <row r="32" spans="1:18" ht="14.15" customHeight="1" x14ac:dyDescent="0.35">
      <c r="A32" s="296">
        <f t="shared" ca="1" si="5"/>
        <v>2029</v>
      </c>
      <c r="B32" s="297">
        <f>B31+'PRIV-VALID.'!B175</f>
        <v>50000</v>
      </c>
      <c r="C32" s="297">
        <f>C31+$E$7</f>
        <v>0</v>
      </c>
      <c r="D32" s="297">
        <f t="shared" ca="1" si="6"/>
        <v>0</v>
      </c>
      <c r="E32" s="298">
        <f t="shared" ca="1" si="7"/>
        <v>50000</v>
      </c>
      <c r="F32"/>
      <c r="M32" s="1">
        <f t="shared" si="8"/>
        <v>400000</v>
      </c>
      <c r="N32" s="1">
        <f t="shared" si="9"/>
        <v>200000</v>
      </c>
      <c r="O32" s="1">
        <f t="shared" si="10"/>
        <v>200000</v>
      </c>
      <c r="P32" s="1">
        <f>'PRIV-VALID.'!B128</f>
        <v>0</v>
      </c>
      <c r="Q32" s="81">
        <f>('PRIV-VALID.'!B152/3+$E$5-P32)/7*100</f>
        <v>0</v>
      </c>
      <c r="R32" s="82">
        <f ca="1">IF(O32&lt;Q32,O32*'calcoli Cliente'!$B$55,Q32*'calcoli Cliente'!$B$55)</f>
        <v>0</v>
      </c>
    </row>
    <row r="33" spans="1:18" ht="14.15" customHeight="1" x14ac:dyDescent="0.35">
      <c r="A33" s="296">
        <f t="shared" ca="1" si="5"/>
        <v>2030</v>
      </c>
      <c r="B33" s="297">
        <f>B32+'PRIV-VALID.'!B176</f>
        <v>50000</v>
      </c>
      <c r="C33" s="297">
        <f>C32+$E$7</f>
        <v>0</v>
      </c>
      <c r="D33" s="297">
        <f t="shared" ca="1" si="6"/>
        <v>0</v>
      </c>
      <c r="E33" s="298">
        <f t="shared" ca="1" si="7"/>
        <v>50000</v>
      </c>
      <c r="F33"/>
      <c r="M33" s="1">
        <f t="shared" si="8"/>
        <v>400000</v>
      </c>
      <c r="N33" s="1">
        <f t="shared" si="9"/>
        <v>200000</v>
      </c>
      <c r="O33" s="1">
        <f t="shared" si="10"/>
        <v>200000</v>
      </c>
      <c r="P33" s="1">
        <f>'PRIV-VALID.'!B129</f>
        <v>0</v>
      </c>
      <c r="Q33" s="81">
        <f>('PRIV-VALID.'!B153/3+$E$5-P33)/7*100</f>
        <v>0</v>
      </c>
      <c r="R33" s="82">
        <f ca="1">IF(O33&lt;Q33,O33*'calcoli Cliente'!$B$55,Q33*'calcoli Cliente'!$B$55)</f>
        <v>0</v>
      </c>
    </row>
    <row r="34" spans="1:18" x14ac:dyDescent="0.35">
      <c r="B34" s="83"/>
      <c r="C34" s="83"/>
      <c r="D34" s="83"/>
      <c r="E34" s="83"/>
    </row>
    <row r="35" spans="1:18" x14ac:dyDescent="0.35">
      <c r="C35" s="83"/>
      <c r="D35" s="83"/>
      <c r="E35" s="83"/>
      <c r="F35" s="83"/>
    </row>
    <row r="36" spans="1:18" x14ac:dyDescent="0.35">
      <c r="C36" s="83"/>
      <c r="D36" s="83"/>
      <c r="E36" s="83"/>
      <c r="F36" s="83"/>
    </row>
    <row r="37" spans="1:18" x14ac:dyDescent="0.35">
      <c r="C37" s="83"/>
      <c r="D37" s="83"/>
      <c r="E37" s="83"/>
      <c r="F37" s="83"/>
    </row>
    <row r="38" spans="1:18" x14ac:dyDescent="0.35">
      <c r="C38" s="83"/>
      <c r="D38" s="83"/>
      <c r="E38" s="83"/>
      <c r="F38" s="83"/>
    </row>
    <row r="39" spans="1:18" x14ac:dyDescent="0.35">
      <c r="C39" s="83"/>
      <c r="D39" s="83"/>
      <c r="E39" s="83"/>
      <c r="F39" s="83"/>
    </row>
    <row r="40" spans="1:18" x14ac:dyDescent="0.35">
      <c r="C40" s="83"/>
      <c r="D40" s="83"/>
      <c r="E40" s="83"/>
      <c r="F40" s="83"/>
    </row>
    <row r="41" spans="1:18" x14ac:dyDescent="0.35">
      <c r="C41" s="83"/>
      <c r="D41" s="83"/>
      <c r="E41" s="83"/>
      <c r="F41" s="83"/>
    </row>
    <row r="42" spans="1:18" x14ac:dyDescent="0.35">
      <c r="C42" s="83"/>
      <c r="D42" s="83"/>
      <c r="E42" s="83"/>
      <c r="F42" s="83"/>
    </row>
    <row r="43" spans="1:18" x14ac:dyDescent="0.35">
      <c r="C43" s="83"/>
      <c r="D43" s="83"/>
      <c r="E43" s="83"/>
      <c r="F43" s="83"/>
    </row>
    <row r="44" spans="1:18" x14ac:dyDescent="0.35">
      <c r="C44" s="83"/>
      <c r="D44" s="83"/>
      <c r="E44" s="83"/>
      <c r="F44" s="83"/>
    </row>
  </sheetData>
  <sheetProtection sheet="1"/>
  <mergeCells count="24">
    <mergeCell ref="A12:D12"/>
    <mergeCell ref="A14:D15"/>
    <mergeCell ref="E14:E15"/>
    <mergeCell ref="M15:O15"/>
    <mergeCell ref="A24:D26"/>
    <mergeCell ref="E24:E26"/>
    <mergeCell ref="A9:E9"/>
    <mergeCell ref="G9:K9"/>
    <mergeCell ref="A10:D10"/>
    <mergeCell ref="G10:K10"/>
    <mergeCell ref="A11:D11"/>
    <mergeCell ref="G11:K11"/>
    <mergeCell ref="A5:D5"/>
    <mergeCell ref="G5:J5"/>
    <mergeCell ref="A6:D6"/>
    <mergeCell ref="G6:J6"/>
    <mergeCell ref="A7:D7"/>
    <mergeCell ref="G7:J7"/>
    <mergeCell ref="A1:E1"/>
    <mergeCell ref="G1:K1"/>
    <mergeCell ref="A3:D3"/>
    <mergeCell ref="G3:J3"/>
    <mergeCell ref="A4:D4"/>
    <mergeCell ref="G4:J4"/>
  </mergeCells>
  <pageMargins left="0.7" right="0.7" top="0.75" bottom="0.75" header="0.3" footer="0.3"/>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972E-AAB4-45E7-9DA0-3F0214F99235}">
  <dimension ref="A1:G82"/>
  <sheetViews>
    <sheetView showGridLines="0" showRowColHeaders="0" topLeftCell="A2" zoomScale="110" zoomScaleNormal="110" workbookViewId="0">
      <selection activeCell="C14" sqref="C14"/>
    </sheetView>
  </sheetViews>
  <sheetFormatPr defaultColWidth="8.7265625" defaultRowHeight="14" x14ac:dyDescent="0.3"/>
  <cols>
    <col min="1" max="1" width="26.7265625" style="106" customWidth="1"/>
    <col min="2" max="2" width="9" style="106" customWidth="1"/>
    <col min="3" max="3" width="22.7265625" style="106" customWidth="1"/>
    <col min="4" max="4" width="4.6328125" style="107" customWidth="1"/>
    <col min="5" max="5" width="26.7265625" style="106" customWidth="1"/>
    <col min="6" max="6" width="8.7265625" style="106"/>
    <col min="7" max="7" width="22.7265625" style="106" customWidth="1"/>
    <col min="8" max="16384" width="8.7265625" style="106"/>
  </cols>
  <sheetData>
    <row r="1" spans="1:7" ht="15.5" hidden="1" customHeight="1" x14ac:dyDescent="0.3">
      <c r="A1" s="1405" t="str">
        <f>Traduzioni!G522</f>
        <v>SIOSTENIBILITÀ IPOTECA IN CASO DI DECESSO</v>
      </c>
      <c r="B1" s="1406"/>
      <c r="C1" s="1406"/>
      <c r="D1" s="1406"/>
      <c r="E1" s="1406"/>
      <c r="F1" s="1406"/>
      <c r="G1" s="1407"/>
    </row>
    <row r="2" spans="1:7" s="1" customFormat="1" ht="15.5" customHeight="1" x14ac:dyDescent="0.35">
      <c r="A2" s="1361"/>
      <c r="B2" s="1403" t="str">
        <f>Traduzioni!G522&amp;" " &amp;ANALYSIS!B19&amp;" &amp; "&amp;ANALYSIS!C19</f>
        <v xml:space="preserve">SIOSTENIBILITÀ IPOTECA IN CASO DI DECESSO  &amp; </v>
      </c>
      <c r="C2" s="1403"/>
      <c r="D2" s="1403"/>
      <c r="E2" s="1403"/>
      <c r="F2" s="1403"/>
      <c r="G2" s="1404"/>
    </row>
    <row r="3" spans="1:7" s="1" customFormat="1" ht="15.5" customHeight="1" x14ac:dyDescent="0.35">
      <c r="A3" s="1362"/>
      <c r="B3" s="1383" t="str">
        <f>Traduzioni!G368&amp;" "&amp;ANALYSIS!$B$3&amp;" - "&amp;'RENDITE CLIENTE'!$B$2</f>
        <v>Valutazione effettuata da:  - NeoLife AG</v>
      </c>
      <c r="C3" s="1383"/>
      <c r="D3" s="1383"/>
      <c r="E3" s="1383"/>
      <c r="F3" s="1383"/>
      <c r="G3" s="1384"/>
    </row>
    <row r="4" spans="1:7" s="1" customFormat="1" ht="15.5" customHeight="1" x14ac:dyDescent="0.35">
      <c r="A4" s="1362"/>
      <c r="B4" s="1383" t="str">
        <f>Traduzioni!G369&amp;" "&amp;Traduzioni!G366</f>
        <v>Parametri di calcolo: Dati forniti dal cliente - parametri del mercato finanziario</v>
      </c>
      <c r="C4" s="1383"/>
      <c r="D4" s="1383"/>
      <c r="E4" s="1383"/>
      <c r="F4" s="1383"/>
      <c r="G4" s="1384"/>
    </row>
    <row r="5" spans="1:7" s="1" customFormat="1" ht="15.5" customHeight="1" thickBot="1" x14ac:dyDescent="0.4">
      <c r="A5" s="1363"/>
      <c r="B5" s="1382" t="str">
        <f>Traduzioni!G370</f>
        <v>Calcolo del:</v>
      </c>
      <c r="C5" s="1382"/>
      <c r="D5" s="1395">
        <f ca="1">NOW()</f>
        <v>45680.292758333337</v>
      </c>
      <c r="E5" s="1395"/>
      <c r="F5" s="1395"/>
      <c r="G5" s="1396"/>
    </row>
    <row r="6" spans="1:7" ht="15.5" hidden="1" customHeight="1" thickBot="1" x14ac:dyDescent="0.4">
      <c r="A6" s="375" t="str">
        <f>Traduzioni!G371</f>
        <v>Oggetto:</v>
      </c>
      <c r="B6" s="1397">
        <f>ANALYSIS!B102</f>
        <v>0</v>
      </c>
      <c r="C6" s="1397"/>
      <c r="D6" s="1397"/>
      <c r="E6" s="1397"/>
      <c r="F6" s="1397"/>
      <c r="G6" s="1398"/>
    </row>
    <row r="7" spans="1:7" ht="15.65" customHeight="1" thickBot="1" x14ac:dyDescent="0.35">
      <c r="A7" s="301"/>
      <c r="B7" s="301"/>
      <c r="C7" s="301"/>
      <c r="D7" s="302"/>
    </row>
    <row r="8" spans="1:7" ht="15.5" x14ac:dyDescent="0.35">
      <c r="A8" s="1364" t="str">
        <f>Traduzioni!G372</f>
        <v>DATI GENERALI</v>
      </c>
      <c r="B8" s="1365"/>
      <c r="C8" s="1366"/>
      <c r="D8" s="527"/>
      <c r="E8" s="1367" t="str">
        <f>Traduzioni!G532</f>
        <v>VARIABILI SITUAZIONE REDDITUALE</v>
      </c>
      <c r="F8" s="1365"/>
      <c r="G8" s="1368"/>
    </row>
    <row r="9" spans="1:7" ht="15.5" x14ac:dyDescent="0.35">
      <c r="A9" s="1409" t="str">
        <f>Traduzioni!G536</f>
        <v>Valore dell'immobile</v>
      </c>
      <c r="B9" s="1399"/>
      <c r="C9" s="504">
        <f>ANALYSIS!B100</f>
        <v>0</v>
      </c>
      <c r="D9" s="512"/>
      <c r="E9" s="1399" t="str">
        <f>Traduzioni!G529</f>
        <v>Redditi attuali</v>
      </c>
      <c r="F9" s="1399"/>
      <c r="G9" s="520">
        <f>ANALYSIS!$B$38*ANALYSIS!$B$40+ANALYSIS!$C$38*ANALYSIS!$C$40</f>
        <v>0</v>
      </c>
    </row>
    <row r="10" spans="1:7" ht="14" customHeight="1" x14ac:dyDescent="0.3">
      <c r="A10" s="1415" t="str">
        <f>Traduzioni!$G$406</f>
        <v>Ipoteca 1. grado max:</v>
      </c>
      <c r="B10" s="1379"/>
      <c r="C10" s="503">
        <f>IF($C$9=0,0,$C$77*0.66)</f>
        <v>0</v>
      </c>
      <c r="D10" s="512"/>
      <c r="E10" s="1379" t="str">
        <f>Traduzioni!G530&amp;" "&amp;ANALYSIS!B19</f>
        <v xml:space="preserve">Reddito di </v>
      </c>
      <c r="F10" s="1379"/>
      <c r="G10" s="519">
        <f>ANALYSIS!B38*ANALYSIS!B39</f>
        <v>0</v>
      </c>
    </row>
    <row r="11" spans="1:7" ht="14" customHeight="1" x14ac:dyDescent="0.3">
      <c r="A11" s="1415" t="str">
        <f>Traduzioni!G$407</f>
        <v>Ipoteca 2. grado max:</v>
      </c>
      <c r="B11" s="1379"/>
      <c r="C11" s="503">
        <f>IF($C$9=0,0,$C$77*0.14)</f>
        <v>0</v>
      </c>
      <c r="D11" s="512"/>
      <c r="E11" s="1379" t="str">
        <f>Traduzioni!G530&amp;" "&amp;ANALYSIS!C19</f>
        <v xml:space="preserve">Reddito di </v>
      </c>
      <c r="F11" s="1379"/>
      <c r="G11" s="519">
        <f>ANALYSIS!C38*ANALYSIS!C39</f>
        <v>0</v>
      </c>
    </row>
    <row r="12" spans="1:7" ht="14" customHeight="1" x14ac:dyDescent="0.3">
      <c r="A12" s="1415" t="str">
        <f>Traduzioni!G$408</f>
        <v>Ipoteca max totale:</v>
      </c>
      <c r="B12" s="1379"/>
      <c r="C12" s="503">
        <f>IF($C$9=0,0,$C$10+$C$11)</f>
        <v>0</v>
      </c>
      <c r="D12" s="512"/>
      <c r="E12" s="1379" t="str">
        <f>Traduzioni!G531&amp;" "&amp;ANALYSIS!B19</f>
        <v xml:space="preserve">Rendita vedovanza per </v>
      </c>
      <c r="F12" s="1379"/>
      <c r="G12" s="519">
        <f ca="1">'Calcoli Partner'!B44</f>
        <v>0</v>
      </c>
    </row>
    <row r="13" spans="1:7" ht="16" thickBot="1" x14ac:dyDescent="0.4">
      <c r="A13" s="1401" t="str">
        <f>Traduzioni!G$535</f>
        <v>Ipoteca attuale</v>
      </c>
      <c r="B13" s="1402"/>
      <c r="C13" s="528">
        <f>IF(ANALYSIS!B105=0,$C$77-$C$29,ANALYSIS!B105)</f>
        <v>0</v>
      </c>
      <c r="D13" s="517"/>
      <c r="E13" s="1380" t="str">
        <f>Traduzioni!G531&amp;" "&amp;ANALYSIS!C19</f>
        <v xml:space="preserve">Rendita vedovanza per </v>
      </c>
      <c r="F13" s="1380"/>
      <c r="G13" s="521">
        <f ca="1">'calcoli Cliente'!B34</f>
        <v>0</v>
      </c>
    </row>
    <row r="14" spans="1:7" ht="15.5" customHeight="1" thickBot="1" x14ac:dyDescent="0.35">
      <c r="D14" s="491"/>
    </row>
    <row r="15" spans="1:7" ht="14" customHeight="1" x14ac:dyDescent="0.3">
      <c r="A15" s="1375" t="str">
        <f>Traduzioni!A538&amp;" "&amp;ANALYSIS!B19</f>
        <v xml:space="preserve">Rendita di pensione A.S. </v>
      </c>
      <c r="B15" s="1376"/>
      <c r="C15" s="513">
        <f ca="1">'calcoli Cliente'!B49</f>
        <v>15120</v>
      </c>
      <c r="D15" s="514"/>
      <c r="E15" s="1376" t="str">
        <f>Traduzioni!A538&amp;" "&amp;ANALYSIS!C19</f>
        <v xml:space="preserve">Rendita di pensione A.S. </v>
      </c>
      <c r="F15" s="1376"/>
      <c r="G15" s="515">
        <f ca="1">'Calcoli Partner'!B49</f>
        <v>0</v>
      </c>
    </row>
    <row r="16" spans="1:7" ht="14" customHeight="1" thickBot="1" x14ac:dyDescent="0.35">
      <c r="A16" s="1377" t="str">
        <f>Traduzioni!G537&amp;" "&amp;ANALYSIS!B19</f>
        <v xml:space="preserve">Rendita di pensione P.S. </v>
      </c>
      <c r="B16" s="1378"/>
      <c r="C16" s="516">
        <f ca="1">'calcoli Cliente'!B50</f>
        <v>15120</v>
      </c>
      <c r="D16" s="517"/>
      <c r="E16" s="1378" t="str">
        <f>Traduzioni!G537&amp;" "&amp;ANALYSIS!C19</f>
        <v xml:space="preserve">Rendita di pensione P.S. </v>
      </c>
      <c r="F16" s="1378"/>
      <c r="G16" s="518">
        <f ca="1">'Calcoli Partner'!B50</f>
        <v>0</v>
      </c>
    </row>
    <row r="17" spans="1:7" ht="14" customHeight="1" thickBot="1" x14ac:dyDescent="0.35">
      <c r="D17" s="491"/>
    </row>
    <row r="18" spans="1:7" ht="14" hidden="1" customHeight="1" x14ac:dyDescent="0.3">
      <c r="D18" s="491"/>
    </row>
    <row r="19" spans="1:7" ht="14" hidden="1" customHeight="1" x14ac:dyDescent="0.3">
      <c r="D19" s="491"/>
    </row>
    <row r="20" spans="1:7" ht="14" hidden="1" customHeight="1" x14ac:dyDescent="0.3">
      <c r="D20" s="491"/>
    </row>
    <row r="21" spans="1:7" ht="14" hidden="1" customHeight="1" x14ac:dyDescent="0.3">
      <c r="A21" s="344"/>
      <c r="B21" s="344"/>
      <c r="C21" s="502"/>
      <c r="D21" s="491"/>
    </row>
    <row r="22" spans="1:7" ht="14.9" hidden="1" customHeight="1" x14ac:dyDescent="0.3">
      <c r="A22" s="301"/>
      <c r="B22" s="301"/>
      <c r="C22" s="301"/>
      <c r="D22" s="302"/>
    </row>
    <row r="23" spans="1:7" ht="15.5" hidden="1" customHeight="1" x14ac:dyDescent="0.35">
      <c r="A23" s="1369" t="str">
        <f>Traduzioni!G383</f>
        <v>CALCOLO DEL CAPITALE PROPRPIO:</v>
      </c>
      <c r="B23" s="1370"/>
      <c r="C23" s="1371"/>
      <c r="D23" s="490"/>
      <c r="E23" s="1381"/>
      <c r="F23" s="1381"/>
      <c r="G23" s="1381"/>
    </row>
    <row r="24" spans="1:7" ht="14" hidden="1" customHeight="1" x14ac:dyDescent="0.3">
      <c r="A24" s="1379" t="str">
        <f>Traduzioni!G384</f>
        <v>Capitale proprio LPP</v>
      </c>
      <c r="B24" s="1379"/>
      <c r="C24" s="498">
        <f>ANALYSIS!B94+ANALYSIS!C94</f>
        <v>0</v>
      </c>
      <c r="D24" s="489" t="str">
        <f>IF(C24=0,"",IF((C25+C26+C27+C28)&lt;(C77*10/100),Traduzioni!G401,IF(C29&lt;C30,Traduzioni!G402,"")))</f>
        <v/>
      </c>
      <c r="E24" s="1381"/>
      <c r="F24" s="1381"/>
      <c r="G24" s="1381"/>
    </row>
    <row r="25" spans="1:7" ht="14" hidden="1" customHeight="1" x14ac:dyDescent="0.3">
      <c r="A25" s="1379" t="str">
        <f>Traduzioni!G385</f>
        <v>Capitale proprio cash + 3 pilastri</v>
      </c>
      <c r="B25" s="1379"/>
      <c r="C25" s="498">
        <f>ANALYSIS!B93+ANALYSIS!C93</f>
        <v>0</v>
      </c>
      <c r="D25" s="489"/>
      <c r="E25" s="1381"/>
      <c r="F25" s="1381"/>
      <c r="G25" s="1381"/>
    </row>
    <row r="26" spans="1:7" ht="14" hidden="1" customHeight="1" x14ac:dyDescent="0.3">
      <c r="A26" s="1379" t="str">
        <f>Traduzioni!G386</f>
        <v>Annualità 3 pilastri nuovi</v>
      </c>
      <c r="B26" s="1379"/>
      <c r="C26" s="498">
        <f>(ANALYSIS!B83+ANALYSIS!C83)*12</f>
        <v>0</v>
      </c>
      <c r="D26" s="489"/>
      <c r="E26" s="1381"/>
      <c r="F26" s="1381"/>
      <c r="G26" s="1381"/>
    </row>
    <row r="27" spans="1:7" ht="14" hidden="1" customHeight="1" x14ac:dyDescent="0.3">
      <c r="A27" s="1379" t="str">
        <f>Traduzioni!G387</f>
        <v>Capitale proprio in lavori</v>
      </c>
      <c r="B27" s="1379"/>
      <c r="C27" s="498">
        <f>ANALYSIS!B96+ANALYSIS!C96</f>
        <v>0</v>
      </c>
      <c r="D27" s="489"/>
      <c r="E27" s="1381"/>
      <c r="F27" s="1381"/>
      <c r="G27" s="1381"/>
    </row>
    <row r="28" spans="1:7" ht="14" hidden="1" customHeight="1" x14ac:dyDescent="0.3">
      <c r="A28" s="1379" t="str">
        <f>Traduzioni!G388</f>
        <v>Già versato, eredità, prestiti e altro</v>
      </c>
      <c r="B28" s="1379"/>
      <c r="C28" s="498">
        <f>ANALYSIS!B95+ANALYSIS!C95</f>
        <v>0</v>
      </c>
      <c r="D28" s="489"/>
      <c r="E28" s="1381"/>
      <c r="F28" s="1381"/>
      <c r="G28" s="1381"/>
    </row>
    <row r="29" spans="1:7" ht="15.5" hidden="1" x14ac:dyDescent="0.35">
      <c r="A29" s="1394" t="str">
        <f>Traduzioni!G389</f>
        <v>Capitale proprio totale:</v>
      </c>
      <c r="B29" s="1394"/>
      <c r="C29" s="499">
        <f>IF(C73=0,ANALYSIS!B100-ANALYSIS!B105,IF((C24+C25+C27+C28+C26)=0,0,C24+C25+C27+C28+C26))</f>
        <v>0</v>
      </c>
      <c r="D29" s="489"/>
      <c r="E29" s="1381"/>
      <c r="F29" s="1381"/>
      <c r="G29" s="1381"/>
    </row>
    <row r="30" spans="1:7" hidden="1" x14ac:dyDescent="0.3">
      <c r="A30" s="1379" t="str">
        <f>Traduzioni!G390</f>
        <v>Capitale proprio minimo necessario:</v>
      </c>
      <c r="B30" s="1379"/>
      <c r="C30" s="500">
        <f>IF(C9=0,0,C77*20/100)</f>
        <v>0</v>
      </c>
      <c r="D30" s="489"/>
      <c r="E30" s="1381"/>
      <c r="F30" s="1381"/>
      <c r="G30" s="1381"/>
    </row>
    <row r="31" spans="1:7" hidden="1" x14ac:dyDescent="0.3">
      <c r="A31" s="344"/>
      <c r="B31" s="344"/>
      <c r="C31" s="502"/>
      <c r="D31" s="489"/>
      <c r="E31" s="493"/>
      <c r="F31" s="493"/>
      <c r="G31" s="493"/>
    </row>
    <row r="32" spans="1:7" ht="13.4" hidden="1" customHeight="1" x14ac:dyDescent="0.3">
      <c r="A32" s="301"/>
      <c r="B32" s="301"/>
      <c r="C32" s="301"/>
      <c r="D32" s="302"/>
    </row>
    <row r="33" spans="1:7" ht="30" customHeight="1" x14ac:dyDescent="0.35">
      <c r="A33" s="1372" t="str">
        <f>Traduzioni!G528&amp;" "&amp;ANALYSIS!B19</f>
        <v xml:space="preserve">SOSTENIBILITÀ IN CASO DI DECESSO DI  </v>
      </c>
      <c r="B33" s="1373"/>
      <c r="C33" s="1374"/>
      <c r="D33" s="490"/>
      <c r="E33" s="1372" t="str">
        <f>Traduzioni!G528&amp;" "&amp;ANALYSIS!C19</f>
        <v xml:space="preserve">SOSTENIBILITÀ IN CASO DI DECESSO DI  </v>
      </c>
      <c r="F33" s="1373"/>
      <c r="G33" s="1374"/>
    </row>
    <row r="34" spans="1:7" ht="23.5" x14ac:dyDescent="0.3">
      <c r="A34" s="522" t="str">
        <f>Traduzioni!$G$392</f>
        <v>Interessi teorici max. Annui: (valore standard, 5%)</v>
      </c>
      <c r="B34" s="496">
        <v>0.05</v>
      </c>
      <c r="C34" s="523">
        <f>IF($C$9=0,0,$C$13*$B$34)</f>
        <v>0</v>
      </c>
      <c r="D34" s="106"/>
      <c r="E34" s="522" t="str">
        <f>Traduzioni!$G$392</f>
        <v>Interessi teorici max. Annui: (valore standard, 5%)</v>
      </c>
      <c r="F34" s="496">
        <v>0.05</v>
      </c>
      <c r="G34" s="523">
        <f>IF($C$9=0,0,$C$13*$F$34)</f>
        <v>0</v>
      </c>
    </row>
    <row r="35" spans="1:7" x14ac:dyDescent="0.3">
      <c r="A35" s="1392" t="str">
        <f>Traduzioni!$G$393</f>
        <v>Ammortamento annuo min. Obbl.</v>
      </c>
      <c r="B35" s="1393"/>
      <c r="C35" s="523">
        <f>IF($C$9=0,0,IF(ANALYSIS!$B$109=0,IF($C$80=0,0,$C$80/C79),ANALYSIS!$B$109))</f>
        <v>0</v>
      </c>
      <c r="D35" s="489"/>
      <c r="E35" s="1392" t="str">
        <f>Traduzioni!$G$393</f>
        <v>Ammortamento annuo min. Obbl.</v>
      </c>
      <c r="F35" s="1393"/>
      <c r="G35" s="523">
        <f>IF($C$9=0,0,IF(ANALYSIS!$B$109=0,IF($C$80=0,0,$C$80/C79),ANALYSIS!$B$109))</f>
        <v>0</v>
      </c>
    </row>
    <row r="36" spans="1:7" x14ac:dyDescent="0.3">
      <c r="A36" s="524" t="str">
        <f>Traduzioni!$G$394</f>
        <v>Spese di manutenzione</v>
      </c>
      <c r="B36" s="497">
        <v>8.0000000000000002E-3</v>
      </c>
      <c r="C36" s="523">
        <f>IF($C$9=0,0,($C$77-$C$74)*$B$36)</f>
        <v>0</v>
      </c>
      <c r="D36" s="489"/>
      <c r="E36" s="524" t="str">
        <f>Traduzioni!$G$394</f>
        <v>Spese di manutenzione</v>
      </c>
      <c r="F36" s="497">
        <v>8.0000000000000002E-3</v>
      </c>
      <c r="G36" s="523">
        <f>IF($C$9=0,0,($C$77-$C$74)*$B$36)</f>
        <v>0</v>
      </c>
    </row>
    <row r="37" spans="1:7" x14ac:dyDescent="0.3">
      <c r="A37" s="1392" t="str">
        <f>Traduzioni!$G$395</f>
        <v>Onere teorico max. totale:</v>
      </c>
      <c r="B37" s="1393"/>
      <c r="C37" s="523">
        <f>IF($C$9=0,0,$C$34+$C$35+$C$36)</f>
        <v>0</v>
      </c>
      <c r="D37" s="489"/>
      <c r="E37" s="1392" t="str">
        <f>Traduzioni!$G$395</f>
        <v>Onere teorico max. totale:</v>
      </c>
      <c r="F37" s="1393"/>
      <c r="G37" s="523">
        <f>IF($C$9=0,0,$C$34+$C$35+$C$36)</f>
        <v>0</v>
      </c>
    </row>
    <row r="38" spans="1:7" ht="15.5" x14ac:dyDescent="0.35">
      <c r="A38" s="1400" t="str">
        <f>Traduzioni!$G$396</f>
        <v>Totale dei redditi lordi annui:</v>
      </c>
      <c r="B38" s="1394"/>
      <c r="C38" s="525">
        <f ca="1">G11+G13</f>
        <v>0</v>
      </c>
      <c r="D38" s="489"/>
      <c r="E38" s="1400" t="str">
        <f>Traduzioni!$G$396</f>
        <v>Totale dei redditi lordi annui:</v>
      </c>
      <c r="F38" s="1394"/>
      <c r="G38" s="525">
        <f ca="1">G10+G12</f>
        <v>0</v>
      </c>
    </row>
    <row r="39" spans="1:7" ht="15.5" x14ac:dyDescent="0.35">
      <c r="A39" s="1400" t="str">
        <f>Traduzioni!$G$397</f>
        <v>Entrate da affitti:</v>
      </c>
      <c r="B39" s="1394"/>
      <c r="C39" s="525">
        <f>ANALYSIS!$B$103</f>
        <v>0</v>
      </c>
      <c r="D39" s="489"/>
      <c r="E39" s="1400" t="str">
        <f>Traduzioni!$G$397</f>
        <v>Entrate da affitti:</v>
      </c>
      <c r="F39" s="1394"/>
      <c r="G39" s="525">
        <f>ANALYSIS!$B$103</f>
        <v>0</v>
      </c>
    </row>
    <row r="40" spans="1:7" ht="22.4" customHeight="1" x14ac:dyDescent="0.35">
      <c r="A40" s="1400" t="str">
        <f>Traduzioni!$G$398</f>
        <v>Percentuale di sostenibilità:</v>
      </c>
      <c r="B40" s="1394"/>
      <c r="C40" s="529">
        <f ca="1">IF($C$38&gt;0,($C$37-$C$39)/$C$38,0)</f>
        <v>0</v>
      </c>
      <c r="D40" s="489"/>
      <c r="E40" s="1400" t="str">
        <f>Traduzioni!$G$398</f>
        <v>Percentuale di sostenibilità:</v>
      </c>
      <c r="F40" s="1394"/>
      <c r="G40" s="529">
        <f ca="1">IF($G$38&gt;0,($G$37-$G$39)/$G$38,0)</f>
        <v>0</v>
      </c>
    </row>
    <row r="41" spans="1:7" ht="46.5" hidden="1" customHeight="1" x14ac:dyDescent="0.3">
      <c r="A41" s="1413" t="str">
        <f>Traduzioni!G399</f>
        <v>Garanzia aggiuntiva: Vedi differenza con sostenibilità eredi in caso di decesso.</v>
      </c>
      <c r="B41" s="1414"/>
      <c r="C41" s="530">
        <f>IF(C39=0,0,IF(C38&gt;0,0,C37))</f>
        <v>0</v>
      </c>
      <c r="D41" s="492"/>
      <c r="E41" s="533"/>
      <c r="G41" s="534"/>
    </row>
    <row r="42" spans="1:7" ht="15.5" customHeight="1" x14ac:dyDescent="0.3">
      <c r="A42" s="531"/>
      <c r="B42" s="301"/>
      <c r="C42" s="532"/>
      <c r="D42" s="302"/>
      <c r="E42" s="533"/>
      <c r="G42" s="534"/>
    </row>
    <row r="43" spans="1:7" ht="30" customHeight="1" x14ac:dyDescent="0.35">
      <c r="A43" s="1387" t="str">
        <f>Traduzioni!G533&amp;" "&amp;ANALYSIS!C19</f>
        <v xml:space="preserve">Capitali necessari per assicurare sostenibilità di </v>
      </c>
      <c r="B43" s="1388"/>
      <c r="C43" s="1389"/>
      <c r="D43" s="489" t="str">
        <f>IF(C13&gt;(C10+C11),Traduzioni!G410,"")</f>
        <v/>
      </c>
      <c r="E43" s="1387" t="str">
        <f>Traduzioni!G533&amp;" "&amp;ANALYSIS!B19</f>
        <v xml:space="preserve">Capitali necessari per assicurare sostenibilità di </v>
      </c>
      <c r="F43" s="1388"/>
      <c r="G43" s="1389"/>
    </row>
    <row r="44" spans="1:7" ht="30" customHeight="1" thickBot="1" x14ac:dyDescent="0.4">
      <c r="A44" s="1385" t="str">
        <f>Traduzioni!G534&amp;" "&amp;ANALYSIS!B19</f>
        <v xml:space="preserve">Cap. da Ass. in caso di decesso di:  </v>
      </c>
      <c r="B44" s="1386"/>
      <c r="C44" s="526">
        <f ca="1">C56</f>
        <v>0</v>
      </c>
      <c r="D44" s="489"/>
      <c r="E44" s="1385" t="str">
        <f>Traduzioni!G534&amp;" "&amp;ANALYSIS!C19</f>
        <v xml:space="preserve">Cap. da Ass. in caso di decesso di:  </v>
      </c>
      <c r="F44" s="1386"/>
      <c r="G44" s="526">
        <f ca="1">G56</f>
        <v>0</v>
      </c>
    </row>
    <row r="45" spans="1:7" ht="15.5" customHeight="1" thickBot="1" x14ac:dyDescent="0.4">
      <c r="A45" s="509"/>
      <c r="B45" s="509"/>
      <c r="C45" s="510"/>
      <c r="D45" s="489"/>
      <c r="E45" s="509"/>
      <c r="F45" s="509"/>
      <c r="G45" s="510"/>
    </row>
    <row r="46" spans="1:7" ht="30" customHeight="1" thickBot="1" x14ac:dyDescent="0.4">
      <c r="A46" s="1390" t="str">
        <f>Traduzioni!G539</f>
        <v>Da ammortizzare entro la pensione (min)</v>
      </c>
      <c r="B46" s="1391"/>
      <c r="C46" s="507">
        <f ca="1">C69</f>
        <v>0</v>
      </c>
      <c r="D46" s="511"/>
      <c r="E46" s="1391" t="str">
        <f>Traduzioni!G540</f>
        <v>Da ammortizzare entro la pensione (max)</v>
      </c>
      <c r="F46" s="1391"/>
      <c r="G46" s="508">
        <f ca="1">C68</f>
        <v>0</v>
      </c>
    </row>
    <row r="47" spans="1:7" ht="33.65" hidden="1" customHeight="1" x14ac:dyDescent="0.3">
      <c r="D47" s="484"/>
    </row>
    <row r="48" spans="1:7" hidden="1" x14ac:dyDescent="0.3">
      <c r="A48" s="106" t="s">
        <v>2924</v>
      </c>
    </row>
    <row r="49" spans="1:7" hidden="1" x14ac:dyDescent="0.3">
      <c r="A49" s="106" t="s">
        <v>2911</v>
      </c>
      <c r="C49" s="495">
        <f ca="1">C38/3</f>
        <v>0</v>
      </c>
      <c r="E49" s="106" t="s">
        <v>2911</v>
      </c>
      <c r="G49" s="495">
        <f ca="1">G38/3</f>
        <v>0</v>
      </c>
    </row>
    <row r="50" spans="1:7" hidden="1" x14ac:dyDescent="0.3">
      <c r="A50" s="106" t="s">
        <v>2912</v>
      </c>
      <c r="C50" s="494">
        <f>C$39</f>
        <v>0</v>
      </c>
      <c r="E50" s="106" t="s">
        <v>2912</v>
      </c>
      <c r="G50" s="494">
        <f>G39</f>
        <v>0</v>
      </c>
    </row>
    <row r="51" spans="1:7" hidden="1" x14ac:dyDescent="0.3">
      <c r="A51" s="106" t="s">
        <v>2913</v>
      </c>
      <c r="C51" s="495">
        <f ca="1">C49+C50</f>
        <v>0</v>
      </c>
      <c r="E51" s="106" t="s">
        <v>2913</v>
      </c>
      <c r="G51" s="495">
        <f ca="1">G49+G50</f>
        <v>0</v>
      </c>
    </row>
    <row r="52" spans="1:7" hidden="1" x14ac:dyDescent="0.3">
      <c r="A52" s="106" t="s">
        <v>2914</v>
      </c>
      <c r="C52" s="495">
        <f ca="1">C51-C$36</f>
        <v>0</v>
      </c>
      <c r="E52" s="106" t="s">
        <v>2914</v>
      </c>
      <c r="G52" s="495">
        <f ca="1">G51-G36</f>
        <v>0</v>
      </c>
    </row>
    <row r="53" spans="1:7" hidden="1" x14ac:dyDescent="0.3">
      <c r="A53" s="106" t="s">
        <v>2915</v>
      </c>
      <c r="C53" s="495">
        <f ca="1">C52/B$34</f>
        <v>0</v>
      </c>
      <c r="E53" s="106" t="s">
        <v>2915</v>
      </c>
      <c r="G53" s="495">
        <f ca="1">G52/F34</f>
        <v>0</v>
      </c>
    </row>
    <row r="54" spans="1:7" hidden="1" x14ac:dyDescent="0.3">
      <c r="A54" s="106" t="s">
        <v>2916</v>
      </c>
      <c r="C54" s="495">
        <f ca="1">(C52-C$35)/B$34</f>
        <v>0</v>
      </c>
      <c r="E54" s="106" t="s">
        <v>2916</v>
      </c>
      <c r="G54" s="495">
        <f ca="1">(G52-G35)/F34</f>
        <v>0</v>
      </c>
    </row>
    <row r="55" spans="1:7" hidden="1" x14ac:dyDescent="0.3">
      <c r="A55" s="106" t="s">
        <v>2906</v>
      </c>
      <c r="C55" s="494">
        <f>C$13</f>
        <v>0</v>
      </c>
      <c r="E55" s="106" t="s">
        <v>2906</v>
      </c>
      <c r="G55" s="494">
        <f>C13</f>
        <v>0</v>
      </c>
    </row>
    <row r="56" spans="1:7" hidden="1" x14ac:dyDescent="0.3">
      <c r="A56" s="106" t="s">
        <v>2917</v>
      </c>
      <c r="C56" s="106">
        <f ca="1">IF(C55-C54&lt;0,0,C55-C54)</f>
        <v>0</v>
      </c>
      <c r="E56" s="106" t="s">
        <v>2917</v>
      </c>
      <c r="G56" s="106">
        <f ca="1">IF(G55-G54&lt;0,0,G55-G54)</f>
        <v>0</v>
      </c>
    </row>
    <row r="57" spans="1:7" hidden="1" x14ac:dyDescent="0.3">
      <c r="A57" s="106" t="s">
        <v>2918</v>
      </c>
      <c r="E57" s="106" t="s">
        <v>2918</v>
      </c>
    </row>
    <row r="58" spans="1:7" hidden="1" x14ac:dyDescent="0.3"/>
    <row r="59" spans="1:7" hidden="1" x14ac:dyDescent="0.3">
      <c r="A59" s="106" t="s">
        <v>2926</v>
      </c>
    </row>
    <row r="60" spans="1:7" hidden="1" x14ac:dyDescent="0.3">
      <c r="A60" s="106" t="s">
        <v>2925</v>
      </c>
      <c r="C60" s="505">
        <f ca="1">C16+G16</f>
        <v>15120</v>
      </c>
    </row>
    <row r="61" spans="1:7" hidden="1" x14ac:dyDescent="0.3">
      <c r="A61" s="106" t="s">
        <v>2911</v>
      </c>
      <c r="C61" s="506">
        <f ca="1">C60/3</f>
        <v>5040</v>
      </c>
    </row>
    <row r="62" spans="1:7" hidden="1" x14ac:dyDescent="0.3">
      <c r="A62" s="106" t="s">
        <v>2912</v>
      </c>
      <c r="C62" s="494">
        <f>C$39</f>
        <v>0</v>
      </c>
    </row>
    <row r="63" spans="1:7" hidden="1" x14ac:dyDescent="0.3">
      <c r="A63" s="106" t="s">
        <v>2913</v>
      </c>
      <c r="C63" s="495">
        <f ca="1">C61+C62</f>
        <v>5040</v>
      </c>
    </row>
    <row r="64" spans="1:7" hidden="1" x14ac:dyDescent="0.3">
      <c r="A64" s="106" t="s">
        <v>2914</v>
      </c>
      <c r="C64" s="495">
        <f ca="1">C63-C$36</f>
        <v>5040</v>
      </c>
    </row>
    <row r="65" spans="1:3" hidden="1" x14ac:dyDescent="0.3">
      <c r="A65" s="106" t="s">
        <v>2915</v>
      </c>
      <c r="C65" s="495">
        <f ca="1">C64/B$34</f>
        <v>100800</v>
      </c>
    </row>
    <row r="66" spans="1:3" hidden="1" x14ac:dyDescent="0.3">
      <c r="A66" s="106" t="s">
        <v>2916</v>
      </c>
      <c r="C66" s="495">
        <f ca="1">(C64-C$35)/B$34</f>
        <v>100800</v>
      </c>
    </row>
    <row r="67" spans="1:3" hidden="1" x14ac:dyDescent="0.3">
      <c r="A67" s="106" t="s">
        <v>2906</v>
      </c>
      <c r="C67" s="494">
        <f>C$13</f>
        <v>0</v>
      </c>
    </row>
    <row r="68" spans="1:3" hidden="1" x14ac:dyDescent="0.3">
      <c r="A68" s="106" t="s">
        <v>2917</v>
      </c>
      <c r="C68" s="106">
        <f ca="1">IF(C$67-C$66&lt;0,0,C$67-C$66)</f>
        <v>0</v>
      </c>
    </row>
    <row r="69" spans="1:3" hidden="1" x14ac:dyDescent="0.3">
      <c r="A69" s="106" t="s">
        <v>2918</v>
      </c>
      <c r="C69" s="106">
        <f ca="1">IF(C$67-C$65&lt;0,0,C$67-C$65)</f>
        <v>0</v>
      </c>
    </row>
    <row r="70" spans="1:3" hidden="1" x14ac:dyDescent="0.3"/>
    <row r="71" spans="1:3" hidden="1" x14ac:dyDescent="0.3"/>
    <row r="72" spans="1:3" hidden="1" x14ac:dyDescent="0.3"/>
    <row r="73" spans="1:3" ht="15.5" hidden="1" x14ac:dyDescent="0.35">
      <c r="A73" s="1410" t="str">
        <f>Traduzioni!G374</f>
        <v>Acquisto o rifinanziamento? 0 = rifinanziamento, 1 = acquisto)</v>
      </c>
      <c r="B73" s="1410"/>
      <c r="C73" s="501">
        <v>0</v>
      </c>
    </row>
    <row r="74" spans="1:3" hidden="1" x14ac:dyDescent="0.3">
      <c r="A74" s="1411" t="str">
        <f>Traduzioni!G375</f>
        <v>Costi di rogito tot.:</v>
      </c>
      <c r="B74" s="1411"/>
      <c r="C74" s="485">
        <f>IF(C9=0,0,IF(C73=0,0,C9*2/100))</f>
        <v>0</v>
      </c>
    </row>
    <row r="75" spans="1:3" hidden="1" x14ac:dyDescent="0.3">
      <c r="A75" s="1411" t="str">
        <f>Traduzioni!G376</f>
        <v>Costi di ristrutturazione:</v>
      </c>
      <c r="B75" s="1411"/>
      <c r="C75" s="487">
        <f>ANALYSIS!B101</f>
        <v>0</v>
      </c>
    </row>
    <row r="76" spans="1:3" hidden="1" x14ac:dyDescent="0.3">
      <c r="A76" s="1411" t="str">
        <f>Traduzioni!G377</f>
        <v>Progetto per ristrutturazione:</v>
      </c>
      <c r="B76" s="1411"/>
      <c r="C76" s="485">
        <f>IF(C75=0,0,C75*0.15)</f>
        <v>0</v>
      </c>
    </row>
    <row r="77" spans="1:3" ht="15.5" hidden="1" x14ac:dyDescent="0.35">
      <c r="A77" s="1412" t="str">
        <f>Traduzioni!G378</f>
        <v>Valore totale dell'investimento:</v>
      </c>
      <c r="B77" s="1412"/>
      <c r="C77" s="486">
        <f>IF(C9=0,0,C9+C74+C75+C76)</f>
        <v>0</v>
      </c>
    </row>
    <row r="78" spans="1:3" hidden="1" x14ac:dyDescent="0.3">
      <c r="A78" s="1408" t="str">
        <f>Traduzioni!G379</f>
        <v>Anni alla pensione (se persona fisica)</v>
      </c>
      <c r="B78" s="1408"/>
      <c r="C78" s="488">
        <f ca="1">'Parametri generali'!D8</f>
        <v>65</v>
      </c>
    </row>
    <row r="79" spans="1:3" hidden="1" x14ac:dyDescent="0.3">
      <c r="A79" s="1408" t="str">
        <f>Traduzioni!G380</f>
        <v>Anni dell'ammortamento</v>
      </c>
      <c r="B79" s="1408"/>
      <c r="C79" s="483">
        <f>IF(C9=0,0,IF(C78=0,15,IF(C78&gt;15,15,C78)))</f>
        <v>0</v>
      </c>
    </row>
    <row r="80" spans="1:3" hidden="1" x14ac:dyDescent="0.3">
      <c r="A80" s="1408" t="str">
        <f>Traduzioni!G381</f>
        <v>Parte dell'Ipoteca da ammortizzare:</v>
      </c>
      <c r="B80" s="1408"/>
      <c r="C80" s="485">
        <f>IF(C9=0,0,IF(C13&gt;C10,(C13-C10),0))</f>
        <v>0</v>
      </c>
    </row>
    <row r="81" hidden="1" x14ac:dyDescent="0.3"/>
    <row r="82" hidden="1" x14ac:dyDescent="0.3"/>
  </sheetData>
  <sheetProtection sheet="1" objects="1" scenarios="1"/>
  <mergeCells count="60">
    <mergeCell ref="B3:G3"/>
    <mergeCell ref="B2:G2"/>
    <mergeCell ref="A1:G1"/>
    <mergeCell ref="A80:B80"/>
    <mergeCell ref="A9:B9"/>
    <mergeCell ref="A73:B73"/>
    <mergeCell ref="A74:B74"/>
    <mergeCell ref="A75:B75"/>
    <mergeCell ref="A76:B76"/>
    <mergeCell ref="A77:B77"/>
    <mergeCell ref="A78:B78"/>
    <mergeCell ref="A79:B79"/>
    <mergeCell ref="A41:B41"/>
    <mergeCell ref="A10:B10"/>
    <mergeCell ref="A11:B11"/>
    <mergeCell ref="A12:B12"/>
    <mergeCell ref="A13:B13"/>
    <mergeCell ref="A35:B35"/>
    <mergeCell ref="A37:B37"/>
    <mergeCell ref="A38:B38"/>
    <mergeCell ref="A39:B39"/>
    <mergeCell ref="A26:B26"/>
    <mergeCell ref="A25:B25"/>
    <mergeCell ref="A40:B40"/>
    <mergeCell ref="E37:F37"/>
    <mergeCell ref="E38:F38"/>
    <mergeCell ref="E39:F39"/>
    <mergeCell ref="E40:F40"/>
    <mergeCell ref="D5:G5"/>
    <mergeCell ref="B6:G6"/>
    <mergeCell ref="E9:F9"/>
    <mergeCell ref="E10:F10"/>
    <mergeCell ref="E11:F11"/>
    <mergeCell ref="E35:F35"/>
    <mergeCell ref="A30:B30"/>
    <mergeCell ref="A29:B29"/>
    <mergeCell ref="A28:B28"/>
    <mergeCell ref="A27:B27"/>
    <mergeCell ref="E44:F44"/>
    <mergeCell ref="A43:C43"/>
    <mergeCell ref="E43:G43"/>
    <mergeCell ref="A46:B46"/>
    <mergeCell ref="E46:F46"/>
    <mergeCell ref="A44:B44"/>
    <mergeCell ref="A2:A5"/>
    <mergeCell ref="A8:C8"/>
    <mergeCell ref="E8:G8"/>
    <mergeCell ref="A23:C23"/>
    <mergeCell ref="A33:C33"/>
    <mergeCell ref="E33:G33"/>
    <mergeCell ref="A15:B15"/>
    <mergeCell ref="E15:F15"/>
    <mergeCell ref="A16:B16"/>
    <mergeCell ref="E16:F16"/>
    <mergeCell ref="E12:F12"/>
    <mergeCell ref="E13:F13"/>
    <mergeCell ref="E23:G30"/>
    <mergeCell ref="A24:B24"/>
    <mergeCell ref="B5:C5"/>
    <mergeCell ref="B4:G4"/>
  </mergeCells>
  <pageMargins left="0.7" right="0.7" top="0.75" bottom="0.75" header="0.3" footer="0.3"/>
  <pageSetup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20864-8031-495D-B120-A095ABB5447E}">
  <dimension ref="A1:D43"/>
  <sheetViews>
    <sheetView showGridLines="0" showRowColHeaders="0" zoomScale="110" zoomScaleNormal="110" workbookViewId="0">
      <selection sqref="A1:D1"/>
    </sheetView>
  </sheetViews>
  <sheetFormatPr defaultColWidth="8.7265625" defaultRowHeight="14" x14ac:dyDescent="0.3"/>
  <cols>
    <col min="1" max="1" width="26.7265625" style="106" customWidth="1"/>
    <col min="2" max="2" width="9" style="106" customWidth="1"/>
    <col min="3" max="3" width="22.7265625" style="106" customWidth="1"/>
    <col min="4" max="4" width="24.1796875" style="107" customWidth="1"/>
    <col min="5" max="16384" width="8.7265625" style="106"/>
  </cols>
  <sheetData>
    <row r="1" spans="1:4" ht="15.5" customHeight="1" thickBot="1" x14ac:dyDescent="0.35">
      <c r="A1" s="1420" t="str">
        <f>Traduzioni!G365</f>
        <v>CALCOLO PER IL FINANZIAMENTO DI UN ABITAZIONE DI PROPRIETÀ</v>
      </c>
      <c r="B1" s="1421"/>
      <c r="C1" s="1421"/>
      <c r="D1" s="1422"/>
    </row>
    <row r="2" spans="1:4" s="1" customFormat="1" ht="15.5" customHeight="1" x14ac:dyDescent="0.35">
      <c r="A2" s="372"/>
      <c r="B2" s="1425" t="str">
        <f>Traduzioni!G367&amp;" " &amp;ANALYSIS!B19</f>
        <v xml:space="preserve">Calcolo per:  </v>
      </c>
      <c r="C2" s="1425"/>
      <c r="D2" s="1426"/>
    </row>
    <row r="3" spans="1:4" s="1" customFormat="1" ht="15.5" customHeight="1" x14ac:dyDescent="0.35">
      <c r="A3" s="373"/>
      <c r="B3" s="1427" t="str">
        <f>Traduzioni!G368&amp;" "&amp;ANALYSIS!$B$3&amp;" - "&amp;'RENDITE CLIENTE'!$B$2</f>
        <v>Valutazione effettuata da:  - NeoLife AG</v>
      </c>
      <c r="C3" s="1427"/>
      <c r="D3" s="1428"/>
    </row>
    <row r="4" spans="1:4" s="1" customFormat="1" ht="15.5" customHeight="1" x14ac:dyDescent="0.35">
      <c r="A4" s="373"/>
      <c r="B4" s="1429" t="str">
        <f>Traduzioni!G369&amp;" "&amp;Traduzioni!G366</f>
        <v>Parametri di calcolo: Dati forniti dal cliente - parametri del mercato finanziario</v>
      </c>
      <c r="C4" s="1429"/>
      <c r="D4" s="1430"/>
    </row>
    <row r="5" spans="1:4" s="1" customFormat="1" ht="15.5" customHeight="1" thickBot="1" x14ac:dyDescent="0.4">
      <c r="A5" s="374"/>
      <c r="B5" s="1431" t="str">
        <f>Traduzioni!G370</f>
        <v>Calcolo del:</v>
      </c>
      <c r="C5" s="1432"/>
      <c r="D5" s="477">
        <f ca="1">NOW()</f>
        <v>45680.292758449075</v>
      </c>
    </row>
    <row r="6" spans="1:4" ht="15.5" customHeight="1" thickBot="1" x14ac:dyDescent="0.4">
      <c r="A6" s="599" t="str">
        <f>Traduzioni!G371</f>
        <v>Oggetto:</v>
      </c>
      <c r="B6" s="1433">
        <f>ANALYSIS!B102</f>
        <v>0</v>
      </c>
      <c r="C6" s="1434"/>
      <c r="D6" s="1435"/>
    </row>
    <row r="7" spans="1:4" ht="15.65" customHeight="1" x14ac:dyDescent="0.3">
      <c r="A7" s="301"/>
      <c r="B7" s="301"/>
      <c r="C7" s="301"/>
      <c r="D7" s="302"/>
    </row>
    <row r="8" spans="1:4" ht="15.5" x14ac:dyDescent="0.35">
      <c r="A8" s="1416" t="str">
        <f>Traduzioni!G372</f>
        <v>DATI GENERALI</v>
      </c>
      <c r="B8" s="1416"/>
      <c r="C8" s="1416"/>
      <c r="D8" s="1416"/>
    </row>
    <row r="9" spans="1:4" ht="15.5" x14ac:dyDescent="0.35">
      <c r="A9" s="1423" t="str">
        <f>Traduzioni!G373</f>
        <v>Valore di Acquisto:</v>
      </c>
      <c r="B9" s="1423"/>
      <c r="C9" s="303">
        <f>ANALYSIS!B100</f>
        <v>0</v>
      </c>
      <c r="D9" s="1424" t="str">
        <f>IF(C9&gt;0,"",Traduzioni!G382)</f>
        <v>inserire i dati nei campi di colore giallo</v>
      </c>
    </row>
    <row r="10" spans="1:4" ht="26.15" customHeight="1" x14ac:dyDescent="0.35">
      <c r="A10" s="1411" t="str">
        <f>Traduzioni!G374</f>
        <v>Acquisto o rifinanziamento? 0 = rifinanziamento, 1 = acquisto)</v>
      </c>
      <c r="B10" s="1411"/>
      <c r="C10" s="598">
        <v>1</v>
      </c>
      <c r="D10" s="1424"/>
    </row>
    <row r="11" spans="1:4" x14ac:dyDescent="0.3">
      <c r="A11" s="1411" t="str">
        <f>Traduzioni!G375</f>
        <v>Costi di rogito tot.:</v>
      </c>
      <c r="B11" s="1411"/>
      <c r="C11" s="304">
        <f>IF(C9=0,0,IF(C10=0,0,C9*2/100))</f>
        <v>0</v>
      </c>
      <c r="D11" s="1424"/>
    </row>
    <row r="12" spans="1:4" x14ac:dyDescent="0.3">
      <c r="A12" s="1411" t="str">
        <f>Traduzioni!G376</f>
        <v>Costi di ristrutturazione:</v>
      </c>
      <c r="B12" s="1411"/>
      <c r="C12" s="305">
        <f>ANALYSIS!B101</f>
        <v>0</v>
      </c>
      <c r="D12" s="1424"/>
    </row>
    <row r="13" spans="1:4" x14ac:dyDescent="0.3">
      <c r="A13" s="1411" t="str">
        <f>Traduzioni!G377</f>
        <v>Progetto per ristrutturazione:</v>
      </c>
      <c r="B13" s="1411"/>
      <c r="C13" s="304">
        <f>IF(C12=0,0,C12*0.15)</f>
        <v>0</v>
      </c>
      <c r="D13" s="1424"/>
    </row>
    <row r="14" spans="1:4" ht="15.5" x14ac:dyDescent="0.35">
      <c r="A14" s="1412" t="str">
        <f>Traduzioni!G378</f>
        <v>Valore totale dell'investimento:</v>
      </c>
      <c r="B14" s="1412"/>
      <c r="C14" s="306">
        <f>IF(C9=0,0,C9+C11+C12+C13)</f>
        <v>0</v>
      </c>
      <c r="D14" s="1424"/>
    </row>
    <row r="15" spans="1:4" x14ac:dyDescent="0.3">
      <c r="A15" s="1408" t="str">
        <f>Traduzioni!G379</f>
        <v>Anni alla pensione (se persona fisica)</v>
      </c>
      <c r="B15" s="1408"/>
      <c r="C15" s="308">
        <f ca="1">'Parametri generali'!D8</f>
        <v>65</v>
      </c>
      <c r="D15" s="1424"/>
    </row>
    <row r="16" spans="1:4" x14ac:dyDescent="0.3">
      <c r="A16" s="1408" t="str">
        <f>Traduzioni!G380</f>
        <v>Anni dell'ammortamento</v>
      </c>
      <c r="B16" s="1408"/>
      <c r="C16" s="307">
        <f>IF(C9=0,0,IF(C15=0,15,IF(C15&gt;15,15,C15)))</f>
        <v>0</v>
      </c>
      <c r="D16" s="1424"/>
    </row>
    <row r="17" spans="1:4" x14ac:dyDescent="0.3">
      <c r="A17" s="1408" t="str">
        <f>Traduzioni!G381</f>
        <v>Parte dell'Ipoteca da ammortizzare:</v>
      </c>
      <c r="B17" s="1408"/>
      <c r="C17" s="304">
        <f>IF(C9=0,0,IF(C43&gt;C40,(C43-C40),0))</f>
        <v>0</v>
      </c>
      <c r="D17" s="1424"/>
    </row>
    <row r="18" spans="1:4" ht="14.9" customHeight="1" x14ac:dyDescent="0.3">
      <c r="A18" s="301"/>
      <c r="B18" s="301"/>
      <c r="C18" s="301"/>
      <c r="D18" s="302"/>
    </row>
    <row r="19" spans="1:4" ht="15.5" x14ac:dyDescent="0.35">
      <c r="A19" s="1416" t="str">
        <f>Traduzioni!G383</f>
        <v>CALCOLO DEL CAPITALE PROPRPIO:</v>
      </c>
      <c r="B19" s="1416"/>
      <c r="C19" s="1416"/>
      <c r="D19" s="1416"/>
    </row>
    <row r="20" spans="1:4" x14ac:dyDescent="0.3">
      <c r="A20" s="1408" t="str">
        <f>Traduzioni!G384</f>
        <v>Capitale proprio LPP</v>
      </c>
      <c r="B20" s="1408"/>
      <c r="C20" s="305">
        <f>ANALYSIS!B94+ANALYSIS!C94</f>
        <v>0</v>
      </c>
      <c r="D20" s="1417" t="str">
        <f>IF(C20=0,"",IF((C21+C22+C23+C24)&lt;(C14*10/100),Traduzioni!G401,IF(C25&lt;C26,Traduzioni!G402,"")))</f>
        <v/>
      </c>
    </row>
    <row r="21" spans="1:4" x14ac:dyDescent="0.3">
      <c r="A21" s="1408" t="str">
        <f>Traduzioni!G385</f>
        <v>Capitale proprio cash + 3 pilastri</v>
      </c>
      <c r="B21" s="1408"/>
      <c r="C21" s="305">
        <f>ANALYSIS!B93+ANALYSIS!C93</f>
        <v>0</v>
      </c>
      <c r="D21" s="1417"/>
    </row>
    <row r="22" spans="1:4" x14ac:dyDescent="0.3">
      <c r="A22" s="1408" t="str">
        <f>Traduzioni!G386</f>
        <v>Annualità 3 pilastri nuovi</v>
      </c>
      <c r="B22" s="1408"/>
      <c r="C22" s="305">
        <f>(ANALYSIS!B83+ANALYSIS!C83)*12</f>
        <v>0</v>
      </c>
      <c r="D22" s="1417"/>
    </row>
    <row r="23" spans="1:4" x14ac:dyDescent="0.3">
      <c r="A23" s="1408" t="str">
        <f>Traduzioni!G387</f>
        <v>Capitale proprio in lavori</v>
      </c>
      <c r="B23" s="1408"/>
      <c r="C23" s="305">
        <f>ANALYSIS!B96+ANALYSIS!C96</f>
        <v>0</v>
      </c>
      <c r="D23" s="1417"/>
    </row>
    <row r="24" spans="1:4" x14ac:dyDescent="0.3">
      <c r="A24" s="1408" t="str">
        <f>Traduzioni!G388</f>
        <v>Già versato, eredità, prestiti e altro</v>
      </c>
      <c r="B24" s="1408"/>
      <c r="C24" s="305">
        <f>ANALYSIS!B95+ANALYSIS!C95</f>
        <v>0</v>
      </c>
      <c r="D24" s="1417"/>
    </row>
    <row r="25" spans="1:4" ht="15.5" x14ac:dyDescent="0.35">
      <c r="A25" s="1412" t="str">
        <f>Traduzioni!G389</f>
        <v>Capitale proprio totale:</v>
      </c>
      <c r="B25" s="1412"/>
      <c r="C25" s="306">
        <f>IF((C20+C21+C23+C24+C22)=0,0,C20+C21+C23+C24+C22)</f>
        <v>0</v>
      </c>
      <c r="D25" s="1417"/>
    </row>
    <row r="26" spans="1:4" x14ac:dyDescent="0.3">
      <c r="A26" s="1408" t="str">
        <f>Traduzioni!G390</f>
        <v>Capitale proprio minimo necessario:</v>
      </c>
      <c r="B26" s="1408"/>
      <c r="C26" s="304">
        <f>IF(C9=0,0,C14*20/100)</f>
        <v>0</v>
      </c>
      <c r="D26" s="1417"/>
    </row>
    <row r="27" spans="1:4" ht="13.4" customHeight="1" x14ac:dyDescent="0.3">
      <c r="A27" s="301"/>
      <c r="B27" s="301"/>
      <c r="C27" s="301"/>
      <c r="D27" s="302"/>
    </row>
    <row r="28" spans="1:4" ht="15.5" x14ac:dyDescent="0.35">
      <c r="A28" s="1416" t="str">
        <f>Traduzioni!G391</f>
        <v>CALCOLO DELLA SOSTENIBILITÀ</v>
      </c>
      <c r="B28" s="1416"/>
      <c r="C28" s="1416"/>
      <c r="D28" s="1416"/>
    </row>
    <row r="29" spans="1:4" ht="23.5" x14ac:dyDescent="0.3">
      <c r="A29" s="309" t="str">
        <f>Traduzioni!G392</f>
        <v>Interessi teorici max. Annui: (valore standard, 5%)</v>
      </c>
      <c r="B29" s="310">
        <v>0.05</v>
      </c>
      <c r="C29" s="311">
        <f>IF(C9=0,0,C43*B29)</f>
        <v>0</v>
      </c>
      <c r="D29" s="1417" t="str">
        <f>IF(C35&gt;(C32-0.1),"",IF(C33+C35=0,"",IF(C36="",Traduzioni!G403,IF(C36&gt;0.33,Traduzioni!G404,""))))</f>
        <v/>
      </c>
    </row>
    <row r="30" spans="1:4" x14ac:dyDescent="0.3">
      <c r="A30" s="1419" t="str">
        <f>Traduzioni!G393</f>
        <v>Ammortamento annuo min. Obbl.</v>
      </c>
      <c r="B30" s="1419"/>
      <c r="C30" s="311">
        <f>IF(C9=0,0,IF(C17=0,0,C17/C16))</f>
        <v>0</v>
      </c>
      <c r="D30" s="1417"/>
    </row>
    <row r="31" spans="1:4" x14ac:dyDescent="0.3">
      <c r="A31" s="312" t="str">
        <f>Traduzioni!G394</f>
        <v>Spese di manutenzione</v>
      </c>
      <c r="B31" s="313">
        <v>8.0000000000000002E-3</v>
      </c>
      <c r="C31" s="311">
        <f>IF(C9=0,0,(C14-C11)*B31)</f>
        <v>0</v>
      </c>
      <c r="D31" s="1417"/>
    </row>
    <row r="32" spans="1:4" x14ac:dyDescent="0.3">
      <c r="A32" s="1419" t="str">
        <f>Traduzioni!G395</f>
        <v>Onere teorico max. totale:</v>
      </c>
      <c r="B32" s="1419"/>
      <c r="C32" s="311">
        <f>IF(C9=0,0,C29+C30+C31)</f>
        <v>0</v>
      </c>
      <c r="D32" s="1417"/>
    </row>
    <row r="33" spans="1:4" ht="15.5" x14ac:dyDescent="0.35">
      <c r="A33" s="1412" t="str">
        <f>Traduzioni!G396</f>
        <v>Totale dei redditi lordi annui:</v>
      </c>
      <c r="B33" s="1412"/>
      <c r="C33" s="314">
        <f>ANALYSIS!B38*ANALYSIS!B40+ANALYSIS!C38*ANALYSIS!C40</f>
        <v>0</v>
      </c>
      <c r="D33" s="1417"/>
    </row>
    <row r="34" spans="1:4" ht="15.5" x14ac:dyDescent="0.35">
      <c r="A34" s="870" t="str">
        <f>Traduzioni!G864</f>
        <v>Oneri per altri crediti:</v>
      </c>
      <c r="B34" s="870"/>
      <c r="C34" s="314">
        <f>(ANALYSIS!B97+ANALYSIS!C97)*12</f>
        <v>0</v>
      </c>
      <c r="D34" s="1417"/>
    </row>
    <row r="35" spans="1:4" ht="15.5" x14ac:dyDescent="0.35">
      <c r="A35" s="1412" t="str">
        <f>Traduzioni!G397</f>
        <v>Entrate da affitti:</v>
      </c>
      <c r="B35" s="1412"/>
      <c r="C35" s="314">
        <f>ANALYSIS!B103</f>
        <v>0</v>
      </c>
      <c r="D35" s="1417"/>
    </row>
    <row r="36" spans="1:4" ht="22.4" customHeight="1" x14ac:dyDescent="0.35">
      <c r="A36" s="1412" t="str">
        <f>Traduzioni!G398</f>
        <v>Percentuale di sostenibilità:</v>
      </c>
      <c r="B36" s="1412"/>
      <c r="C36" s="315">
        <f>IF(C33&gt;0,(C32+C34-C35)/C33,0)</f>
        <v>0</v>
      </c>
      <c r="D36" s="1417"/>
    </row>
    <row r="37" spans="1:4" ht="29" customHeight="1" x14ac:dyDescent="0.3">
      <c r="A37" s="1418" t="str">
        <f>Traduzioni!G399</f>
        <v>Garanzia aggiuntiva: Vedi differenza con sostenibilità eredi in caso di decesso.</v>
      </c>
      <c r="B37" s="1418"/>
      <c r="C37" s="304">
        <f>IF(C35=0,0,IF(C33&gt;0,0,C32+C34))</f>
        <v>0</v>
      </c>
      <c r="D37" s="316"/>
    </row>
    <row r="38" spans="1:4" ht="14.9" customHeight="1" x14ac:dyDescent="0.3">
      <c r="A38" s="301"/>
      <c r="B38" s="301"/>
      <c r="C38" s="301"/>
      <c r="D38" s="302"/>
    </row>
    <row r="39" spans="1:4" ht="15.5" x14ac:dyDescent="0.35">
      <c r="A39" s="1416" t="str">
        <f>Traduzioni!G405</f>
        <v>RICHIESTA IPOTECARIA:</v>
      </c>
      <c r="B39" s="1416"/>
      <c r="C39" s="1416"/>
      <c r="D39" s="1416"/>
    </row>
    <row r="40" spans="1:4" x14ac:dyDescent="0.3">
      <c r="A40" s="1408" t="str">
        <f>Traduzioni!G406</f>
        <v>Ipoteca 1. grado max:</v>
      </c>
      <c r="B40" s="1408"/>
      <c r="C40" s="304">
        <f>IF(C9=0,0,C14*0.66)</f>
        <v>0</v>
      </c>
      <c r="D40" s="1417" t="str">
        <f>IF(C43&gt;(C40+C41),Traduzioni!G410,"")</f>
        <v/>
      </c>
    </row>
    <row r="41" spans="1:4" x14ac:dyDescent="0.3">
      <c r="A41" s="1408" t="str">
        <f>Traduzioni!G407</f>
        <v>Ipoteca 2. grado max:</v>
      </c>
      <c r="B41" s="1408"/>
      <c r="C41" s="304">
        <f>IF(C9=0,0,C14*0.14)</f>
        <v>0</v>
      </c>
      <c r="D41" s="1417"/>
    </row>
    <row r="42" spans="1:4" x14ac:dyDescent="0.3">
      <c r="A42" s="1408" t="str">
        <f>Traduzioni!G408</f>
        <v>Ipoteca max totale:</v>
      </c>
      <c r="B42" s="1408"/>
      <c r="C42" s="304">
        <f>IF(C9=0,0,C40+C41)</f>
        <v>0</v>
      </c>
      <c r="D42" s="1417"/>
    </row>
    <row r="43" spans="1:4" ht="33.65" customHeight="1" x14ac:dyDescent="0.35">
      <c r="A43" s="1412" t="str">
        <f>Traduzioni!G409</f>
        <v>Ipoteca richiesta:</v>
      </c>
      <c r="B43" s="1412"/>
      <c r="C43" s="306">
        <f>C14-C25</f>
        <v>0</v>
      </c>
      <c r="D43" s="1417"/>
    </row>
  </sheetData>
  <sheetProtection sheet="1" objects="1" scenarios="1"/>
  <mergeCells count="40">
    <mergeCell ref="B2:D2"/>
    <mergeCell ref="B3:D3"/>
    <mergeCell ref="B4:D4"/>
    <mergeCell ref="B5:C5"/>
    <mergeCell ref="B6:D6"/>
    <mergeCell ref="A12:B12"/>
    <mergeCell ref="A13:B13"/>
    <mergeCell ref="A14:B14"/>
    <mergeCell ref="A15:B15"/>
    <mergeCell ref="A16:B16"/>
    <mergeCell ref="A1:D1"/>
    <mergeCell ref="A19:D19"/>
    <mergeCell ref="A20:B20"/>
    <mergeCell ref="D20:D26"/>
    <mergeCell ref="A21:B21"/>
    <mergeCell ref="A8:D8"/>
    <mergeCell ref="A9:B9"/>
    <mergeCell ref="D9:D17"/>
    <mergeCell ref="A10:B10"/>
    <mergeCell ref="A11:B11"/>
    <mergeCell ref="A17:B17"/>
    <mergeCell ref="A22:B22"/>
    <mergeCell ref="A23:B23"/>
    <mergeCell ref="A24:B24"/>
    <mergeCell ref="A25:B25"/>
    <mergeCell ref="A26:B26"/>
    <mergeCell ref="A28:D28"/>
    <mergeCell ref="D29:D36"/>
    <mergeCell ref="A37:B37"/>
    <mergeCell ref="A39:D39"/>
    <mergeCell ref="A40:B40"/>
    <mergeCell ref="D40:D43"/>
    <mergeCell ref="A41:B41"/>
    <mergeCell ref="A42:B42"/>
    <mergeCell ref="A43:B43"/>
    <mergeCell ref="A30:B30"/>
    <mergeCell ref="A32:B32"/>
    <mergeCell ref="A33:B33"/>
    <mergeCell ref="A35:B35"/>
    <mergeCell ref="A36:B36"/>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60FB8-1E61-41D9-BEBB-D55A7666992A}">
  <dimension ref="A1:H43"/>
  <sheetViews>
    <sheetView showGridLines="0" showRowColHeaders="0" zoomScale="110" zoomScaleNormal="110" zoomScaleSheetLayoutView="110" workbookViewId="0">
      <selection activeCell="G3" sqref="G3"/>
    </sheetView>
  </sheetViews>
  <sheetFormatPr defaultColWidth="11.453125" defaultRowHeight="12.5" x14ac:dyDescent="0.25"/>
  <cols>
    <col min="1" max="1" width="19.54296875" customWidth="1"/>
    <col min="2" max="2" width="16.453125" customWidth="1"/>
    <col min="3" max="3" width="17.7265625" customWidth="1"/>
    <col min="4" max="4" width="18.1796875" customWidth="1"/>
    <col min="5" max="5" width="17.453125" customWidth="1"/>
    <col min="6" max="253" width="9.1796875" customWidth="1"/>
  </cols>
  <sheetData>
    <row r="1" spans="1:5" ht="15.5" x14ac:dyDescent="0.35">
      <c r="A1" s="394"/>
      <c r="B1" s="140"/>
      <c r="C1" s="1327" t="str">
        <f>Traduzioni!G231</f>
        <v>GARANTIRE AI FIGLI IL FINANZIAMENTO DEGLI STUDI</v>
      </c>
      <c r="D1" s="1328"/>
      <c r="E1" s="1329"/>
    </row>
    <row r="2" spans="1:5" ht="15.5" x14ac:dyDescent="0.35">
      <c r="A2" s="395"/>
      <c r="B2" s="1"/>
      <c r="C2" s="1330" t="str">
        <f>Traduzioni!G368&amp;" "&amp;ANALYSIS!$B$3&amp;" - "&amp;'RENDITE CLIENTE'!$B$2</f>
        <v>Valutazione effettuata da:  - NeoLife AG</v>
      </c>
      <c r="D2" s="1331"/>
      <c r="E2" s="1332"/>
    </row>
    <row r="3" spans="1:5" ht="15.5" x14ac:dyDescent="0.35">
      <c r="A3" s="395"/>
      <c r="B3" s="1"/>
      <c r="C3" s="1330" t="str">
        <f>Traduzioni!G369&amp;" "&amp;Traduzioni!G366</f>
        <v>Parametri di calcolo: Dati forniti dal cliente - parametri del mercato finanziario</v>
      </c>
      <c r="D3" s="1331"/>
      <c r="E3" s="1332"/>
    </row>
    <row r="4" spans="1:5" ht="16" thickBot="1" x14ac:dyDescent="0.4">
      <c r="A4" s="374"/>
      <c r="B4" s="377"/>
      <c r="C4" s="476" t="str">
        <f>Traduzioni!G370</f>
        <v>Calcolo del:</v>
      </c>
      <c r="D4" s="1333">
        <f ca="1">NOW()</f>
        <v>45680.292758449075</v>
      </c>
      <c r="E4" s="1334"/>
    </row>
    <row r="5" spans="1:5" ht="10" customHeight="1" thickBot="1" x14ac:dyDescent="0.45">
      <c r="A5" s="15"/>
      <c r="B5" s="15"/>
    </row>
    <row r="6" spans="1:5" ht="13.5" thickBot="1" x14ac:dyDescent="0.35">
      <c r="A6" s="172" t="str">
        <f>Traduzioni!G232</f>
        <v>Garantire gli studi a:</v>
      </c>
      <c r="B6" s="173"/>
      <c r="C6" s="171" t="str">
        <f>IF('Parametri generali'!A40=0,"",'Parametri generali'!A40)</f>
        <v/>
      </c>
      <c r="D6" s="130" t="str">
        <f>IF('Parametri generali'!A41=0,"",'Parametri generali'!A41)</f>
        <v/>
      </c>
      <c r="E6" s="130" t="str">
        <f>IF('Parametri generali'!A42=0,"",'Parametri generali'!A42)</f>
        <v/>
      </c>
    </row>
    <row r="7" spans="1:5" ht="13" thickBot="1" x14ac:dyDescent="0.3">
      <c r="A7" s="1323" t="str">
        <f>Traduzioni!G233</f>
        <v>Eta'</v>
      </c>
      <c r="B7" s="1324"/>
      <c r="C7" s="157" t="str">
        <f>IF(C6="","",'Parametri generali'!B45)</f>
        <v/>
      </c>
      <c r="D7" s="18" t="str">
        <f>IF('Parametri generali'!B46=0,"",'Parametri generali'!B46)</f>
        <v/>
      </c>
      <c r="E7" s="18" t="str">
        <f>IF('Parametri generali'!B47=0,"",'Parametri generali'!B47)</f>
        <v/>
      </c>
    </row>
    <row r="8" spans="1:5" ht="13" thickBot="1" x14ac:dyDescent="0.3">
      <c r="A8" s="1323" t="str">
        <f>Traduzioni!G234</f>
        <v>Anni da ora alla fine degli studi</v>
      </c>
      <c r="B8" s="1324"/>
      <c r="C8" s="157">
        <f>'Parametri generali'!D45</f>
        <v>0</v>
      </c>
      <c r="D8" s="18">
        <f>IF('Parametri generali'!D46=0,0,'Parametri generali'!D46)</f>
        <v>0</v>
      </c>
      <c r="E8" s="18">
        <f>IF('Parametri generali'!B47=0,0,'Parametri generali'!D47)</f>
        <v>0</v>
      </c>
    </row>
    <row r="9" spans="1:5" ht="27.75" customHeight="1" thickBot="1" x14ac:dyDescent="0.35">
      <c r="A9" s="1323" t="str">
        <f>Traduzioni!G235</f>
        <v>Tipo di studi desiderato per il figlio:</v>
      </c>
      <c r="B9" s="1324"/>
      <c r="C9" s="167" t="str">
        <f>IF(C6="","",ANALYSIS!B149)</f>
        <v/>
      </c>
      <c r="D9" s="168" t="str">
        <f>IF('Parametri generali'!B46=0,"",ANALYSIS!B150)</f>
        <v/>
      </c>
      <c r="E9" s="168" t="str">
        <f>IF('Parametri generali'!B47=0,"",ANALYSIS!B151)</f>
        <v/>
      </c>
    </row>
    <row r="10" spans="1:5" s="42" customFormat="1" ht="13.5" thickBot="1" x14ac:dyDescent="0.35">
      <c r="A10" s="1323" t="str">
        <f>Traduzioni!G236</f>
        <v>Luogo in cui potrebbero studiare:</v>
      </c>
      <c r="B10" s="1324"/>
      <c r="C10" s="167" t="str">
        <f>IF(C6="","",ANALYSIS!C149)</f>
        <v/>
      </c>
      <c r="D10" s="168" t="str">
        <f>IF('Parametri generali'!B46=0,"",ANALYSIS!C150)</f>
        <v/>
      </c>
      <c r="E10" s="168" t="str">
        <f>IF('Parametri generali'!B47=0,"",ANALYSIS!C151)</f>
        <v/>
      </c>
    </row>
    <row r="11" spans="1:5" ht="13" thickBot="1" x14ac:dyDescent="0.3">
      <c r="A11" s="1323" t="str">
        <f>Traduzioni!G237</f>
        <v>Durata degli studi possibile</v>
      </c>
      <c r="B11" s="1324"/>
      <c r="C11" s="157" t="str">
        <f>IF(C6="","",ANALYSIS!D149)</f>
        <v/>
      </c>
      <c r="D11" s="18" t="str">
        <f>IF('Parametri generali'!B46=0,"",ANALYSIS!D150)</f>
        <v/>
      </c>
      <c r="E11" s="18" t="str">
        <f>IF('Parametri generali'!B47=0,"",ANALYSIS!D151)</f>
        <v/>
      </c>
    </row>
    <row r="12" spans="1:5" ht="13" thickBot="1" x14ac:dyDescent="0.3">
      <c r="A12" s="1323" t="str">
        <f>Traduzioni!G238</f>
        <v xml:space="preserve">Costo presumibile degli studi: </v>
      </c>
      <c r="B12" s="1324"/>
      <c r="C12" s="159">
        <f>ANALYSIS!F149</f>
        <v>0</v>
      </c>
      <c r="D12" s="135">
        <f>ANALYSIS!F150</f>
        <v>0</v>
      </c>
      <c r="E12" s="135">
        <f>ANALYSIS!F151</f>
        <v>0</v>
      </c>
    </row>
    <row r="13" spans="1:5" x14ac:dyDescent="0.25">
      <c r="A13" s="1323" t="str">
        <f>Traduzioni!G239</f>
        <v>Capitale già disponibile</v>
      </c>
      <c r="B13" s="1324"/>
      <c r="C13" s="180">
        <f>ANALYSIS!H149</f>
        <v>0</v>
      </c>
      <c r="D13" s="135">
        <f>ANALYSIS!H150</f>
        <v>0</v>
      </c>
      <c r="E13" s="135">
        <f>ANALYSIS!H151</f>
        <v>0</v>
      </c>
    </row>
    <row r="14" spans="1:5" ht="13" x14ac:dyDescent="0.3">
      <c r="A14" s="435" t="str">
        <f>Traduzioni!G240</f>
        <v>Con risparmio mensile proposto</v>
      </c>
      <c r="B14" s="436"/>
      <c r="C14" s="437">
        <f>IF(C6="",0,VLOOKUP(C8,'Calcolo risparmio figli negli a'!A6:B41,2,FALSE))</f>
        <v>0</v>
      </c>
      <c r="D14" s="437">
        <f>VLOOKUP(D8,'Calcolo risparmio figli negli a'!A6:D41,3,FALSE)</f>
        <v>0</v>
      </c>
      <c r="E14" s="437">
        <f>IF(E6="",0,VLOOKUP(E8,'Calcolo risparmio figli negli a'!A6:D41,4,FALSE))</f>
        <v>0</v>
      </c>
    </row>
    <row r="15" spans="1:5" ht="13" x14ac:dyDescent="0.3">
      <c r="A15" s="435" t="str">
        <f>Traduzioni!G241</f>
        <v>Interesse medio previsto:</v>
      </c>
      <c r="B15" s="436"/>
      <c r="C15" s="438">
        <v>0.06</v>
      </c>
      <c r="D15" s="438">
        <v>0.06</v>
      </c>
      <c r="E15" s="438">
        <v>0.06</v>
      </c>
    </row>
    <row r="16" spans="1:5" x14ac:dyDescent="0.25">
      <c r="A16" s="446"/>
      <c r="B16" s="447"/>
      <c r="C16" s="448"/>
      <c r="D16" s="449"/>
      <c r="E16" s="449"/>
    </row>
    <row r="17" spans="1:5" ht="13.5" thickBot="1" x14ac:dyDescent="0.35">
      <c r="A17" s="161" t="str">
        <f>Traduzioni!G242</f>
        <v xml:space="preserve">Capitale da reperire: </v>
      </c>
      <c r="B17" s="162"/>
      <c r="C17" s="160">
        <f>C12-C13</f>
        <v>0</v>
      </c>
      <c r="D17" s="25">
        <f>D12-D13</f>
        <v>0</v>
      </c>
      <c r="E17" s="25">
        <f>E12-E13</f>
        <v>0</v>
      </c>
    </row>
    <row r="18" spans="1:5" ht="13.5" thickBot="1" x14ac:dyDescent="0.35">
      <c r="A18" s="176"/>
      <c r="B18" s="177"/>
      <c r="C18" s="27"/>
      <c r="D18" s="28"/>
    </row>
    <row r="19" spans="1:5" ht="18.75" customHeight="1" thickBot="1" x14ac:dyDescent="0.35">
      <c r="A19" s="439" t="str">
        <f>Traduzioni!G243</f>
        <v>Per garantire il futuro dei figli, necessitate in totale di: :</v>
      </c>
      <c r="B19" s="440"/>
      <c r="C19" s="441"/>
      <c r="D19" s="442"/>
      <c r="E19" s="443"/>
    </row>
    <row r="20" spans="1:5" ht="18.75" customHeight="1" thickBot="1" x14ac:dyDescent="0.45">
      <c r="A20" s="153" t="str">
        <f>Traduzioni!G244</f>
        <v>Totale necessario:</v>
      </c>
      <c r="B20" s="153"/>
      <c r="C20" s="1439">
        <f>C17+D17+E17</f>
        <v>0</v>
      </c>
      <c r="D20" s="1440"/>
      <c r="E20" s="1441"/>
    </row>
    <row r="21" spans="1:5" x14ac:dyDescent="0.25">
      <c r="A21" s="26"/>
      <c r="B21" s="26"/>
      <c r="C21" s="41"/>
    </row>
    <row r="22" spans="1:5" x14ac:dyDescent="0.25">
      <c r="A22" s="26"/>
      <c r="B22" s="26"/>
      <c r="C22" s="41"/>
    </row>
    <row r="23" spans="1:5" ht="13" x14ac:dyDescent="0.3">
      <c r="A23" s="42"/>
      <c r="B23" s="42"/>
      <c r="C23" s="43"/>
      <c r="D23" s="42"/>
    </row>
    <row r="36" spans="1:8" ht="48" customHeight="1" thickBot="1" x14ac:dyDescent="0.3"/>
    <row r="37" spans="1:8" ht="25.5" customHeight="1" thickBot="1" x14ac:dyDescent="0.3">
      <c r="A37" s="1436" t="str">
        <f>Traduzioni!G245</f>
        <v>Costi a figlio mediamente applicati per gli studi in Svizzera</v>
      </c>
      <c r="B37" s="1437"/>
      <c r="C37" s="1437"/>
      <c r="D37" s="1437"/>
      <c r="E37" s="1438"/>
    </row>
    <row r="38" spans="1:8" ht="33.5" customHeight="1" x14ac:dyDescent="0.25">
      <c r="A38" s="444" t="str">
        <f>Traduzioni!G246</f>
        <v>Livello di studio</v>
      </c>
      <c r="B38" s="444" t="str">
        <f>Traduzioni!G247</f>
        <v>Tipo di scuola</v>
      </c>
      <c r="C38" s="444" t="str">
        <f>Traduzioni!G248</f>
        <v>Tasse scolastiche annuali (CHF)</v>
      </c>
      <c r="D38" s="444" t="str">
        <f>Traduzioni!G249</f>
        <v>Costi aggiuntivi annuali (CHF)</v>
      </c>
      <c r="E38" s="444" t="str">
        <f>Traduzioni!G250</f>
        <v>Costi di alloggio annuali (CHF)</v>
      </c>
      <c r="F38" s="154"/>
      <c r="G38" s="154"/>
      <c r="H38" s="154"/>
    </row>
    <row r="39" spans="1:8" ht="30" customHeight="1" x14ac:dyDescent="0.25">
      <c r="A39" s="445" t="str">
        <f>Traduzioni!G251</f>
        <v>Scuola secondaria II</v>
      </c>
      <c r="B39" s="259" t="str">
        <f>Traduzioni!G254</f>
        <v>Pubblica</v>
      </c>
      <c r="C39" s="169">
        <v>0</v>
      </c>
      <c r="D39" s="170">
        <v>1500</v>
      </c>
      <c r="E39" s="170">
        <v>12000</v>
      </c>
      <c r="F39" s="155"/>
      <c r="G39" s="156"/>
      <c r="H39" s="156"/>
    </row>
    <row r="40" spans="1:8" ht="30" customHeight="1" x14ac:dyDescent="0.25">
      <c r="A40" s="445" t="str">
        <f>Traduzioni!G251</f>
        <v>Scuola secondaria II</v>
      </c>
      <c r="B40" s="259" t="str">
        <f>Traduzioni!G255</f>
        <v>Privata</v>
      </c>
      <c r="C40" s="170">
        <v>30000</v>
      </c>
      <c r="D40" s="170">
        <v>3000</v>
      </c>
      <c r="E40" s="170">
        <v>12000</v>
      </c>
      <c r="F40" s="155"/>
      <c r="G40" s="156"/>
      <c r="H40" s="156"/>
    </row>
    <row r="41" spans="1:8" ht="30" customHeight="1" x14ac:dyDescent="0.25">
      <c r="A41" s="445" t="str">
        <f>Traduzioni!G252</f>
        <v>Università</v>
      </c>
      <c r="B41" s="259" t="str">
        <f>Traduzioni!G254</f>
        <v>Pubblica</v>
      </c>
      <c r="C41" s="170">
        <v>2000</v>
      </c>
      <c r="D41" s="170">
        <v>18000</v>
      </c>
      <c r="E41" s="170">
        <v>15000</v>
      </c>
      <c r="F41" s="155"/>
      <c r="G41" s="156"/>
      <c r="H41" s="156"/>
    </row>
    <row r="42" spans="1:8" ht="30" customHeight="1" x14ac:dyDescent="0.25">
      <c r="A42" s="445" t="str">
        <f>Traduzioni!G252</f>
        <v>Università</v>
      </c>
      <c r="B42" s="259" t="str">
        <f>Traduzioni!G255</f>
        <v>Privata</v>
      </c>
      <c r="C42" s="170">
        <v>30000</v>
      </c>
      <c r="D42" s="170">
        <v>20000</v>
      </c>
      <c r="E42" s="170">
        <v>15000</v>
      </c>
      <c r="F42" s="155"/>
      <c r="G42" s="156"/>
      <c r="H42" s="156"/>
    </row>
    <row r="43" spans="1:8" ht="30" customHeight="1" x14ac:dyDescent="0.25">
      <c r="A43" s="445" t="str">
        <f>Traduzioni!G253</f>
        <v>Scuole professionali superiori</v>
      </c>
      <c r="B43" s="259" t="str">
        <f>Traduzioni!G256</f>
        <v>Pubblica/riconosciuta</v>
      </c>
      <c r="C43" s="170">
        <v>2500</v>
      </c>
      <c r="D43" s="170">
        <v>15000</v>
      </c>
      <c r="E43" s="170">
        <v>15000</v>
      </c>
      <c r="F43" s="155"/>
      <c r="G43" s="156"/>
      <c r="H43" s="156"/>
    </row>
  </sheetData>
  <sheetProtection sheet="1" objects="1" scenarios="1"/>
  <mergeCells count="13">
    <mergeCell ref="C1:E1"/>
    <mergeCell ref="C2:E2"/>
    <mergeCell ref="C3:E3"/>
    <mergeCell ref="D4:E4"/>
    <mergeCell ref="C20:E20"/>
    <mergeCell ref="A37:E37"/>
    <mergeCell ref="A7:B7"/>
    <mergeCell ref="A8:B8"/>
    <mergeCell ref="A9:B9"/>
    <mergeCell ref="A10:B10"/>
    <mergeCell ref="A11:B11"/>
    <mergeCell ref="A12:B12"/>
    <mergeCell ref="A13:B13"/>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7F776-8B7E-4470-B838-11981691F934}">
  <dimension ref="A1:E297"/>
  <sheetViews>
    <sheetView showGridLines="0" showRowColHeaders="0" zoomScale="110" zoomScaleNormal="110" zoomScaleSheetLayoutView="110" workbookViewId="0">
      <selection activeCell="B1" sqref="B1:D1"/>
    </sheetView>
  </sheetViews>
  <sheetFormatPr defaultColWidth="12.1796875" defaultRowHeight="15.5" x14ac:dyDescent="0.35"/>
  <cols>
    <col min="1" max="1" width="30.1796875" style="1" customWidth="1"/>
    <col min="2" max="4" width="18.7265625" style="1" customWidth="1"/>
    <col min="5" max="16384" width="12.1796875" style="1"/>
  </cols>
  <sheetData>
    <row r="1" spans="1:4" ht="15" customHeight="1" x14ac:dyDescent="0.35">
      <c r="A1" s="372"/>
      <c r="B1" s="1444" t="str">
        <f>Traduzioni!G98</f>
        <v xml:space="preserve">ASSICURAZIONE SANITARIA   </v>
      </c>
      <c r="C1" s="1444"/>
      <c r="D1" s="1445"/>
    </row>
    <row r="2" spans="1:4" ht="15" customHeight="1" x14ac:dyDescent="0.35">
      <c r="A2" s="373"/>
      <c r="B2" s="1446" t="str">
        <f>Traduzioni!G368&amp;" "&amp;ANALYSIS!$B$3&amp;" - "&amp;'RENDITE CLIENTE'!$B$2</f>
        <v>Valutazione effettuata da:  - NeoLife AG</v>
      </c>
      <c r="C2" s="1446"/>
      <c r="D2" s="1447"/>
    </row>
    <row r="3" spans="1:4" ht="15" customHeight="1" x14ac:dyDescent="0.35">
      <c r="A3" s="373"/>
      <c r="B3" s="1452" t="str">
        <f>Traduzioni!G369&amp;" "&amp;Traduzioni!G229</f>
        <v>Parametri di calcolo: Premi Assicurazioni sanitarie</v>
      </c>
      <c r="C3" s="1452"/>
      <c r="D3" s="1453"/>
    </row>
    <row r="4" spans="1:4" ht="15" customHeight="1" thickBot="1" x14ac:dyDescent="0.4">
      <c r="A4" s="374"/>
      <c r="B4" s="1450" t="str">
        <f>Traduzioni!G370</f>
        <v>Calcolo del:</v>
      </c>
      <c r="C4" s="1451"/>
      <c r="D4" s="454">
        <f ca="1">NOW()</f>
        <v>45680.292758449075</v>
      </c>
    </row>
    <row r="5" spans="1:4" ht="15" customHeight="1" thickBot="1" x14ac:dyDescent="0.4"/>
    <row r="6" spans="1:4" s="222" customFormat="1" ht="26.5" customHeight="1" x14ac:dyDescent="0.25">
      <c r="B6" s="243" t="str">
        <f>Traduzioni!G219</f>
        <v xml:space="preserve">COPERTURE ATTUALI </v>
      </c>
      <c r="C6" s="459"/>
      <c r="D6" s="1454" t="str">
        <f>Traduzioni!G220</f>
        <v>SOLUZIONE PROPOSTA</v>
      </c>
    </row>
    <row r="7" spans="1:4" s="234" customFormat="1" ht="22" customHeight="1" x14ac:dyDescent="0.25">
      <c r="A7" s="244" t="str">
        <f>'CM.TOT'!A57</f>
        <v>Cliente</v>
      </c>
      <c r="B7" s="458" t="str">
        <f>Traduzioni!G257</f>
        <v>Famiglia intera</v>
      </c>
      <c r="C7" s="460" t="str">
        <f>'CM.TOT'!C251</f>
        <v>Differenza / Anno</v>
      </c>
      <c r="D7" s="1455"/>
    </row>
    <row r="8" spans="1:4" s="222" customFormat="1" ht="12" customHeight="1" x14ac:dyDescent="0.25">
      <c r="A8" s="244" t="str">
        <f>'CM.TOT'!A58</f>
        <v>Tot. LAMAL + LCA - KVG + VVG</v>
      </c>
      <c r="B8" s="450">
        <f>ANALYSIS!G113</f>
        <v>0</v>
      </c>
      <c r="C8" s="461">
        <f>(B8-D8)*12</f>
        <v>0</v>
      </c>
      <c r="D8" s="462">
        <f>ANALYSIS!D143</f>
        <v>0</v>
      </c>
    </row>
    <row r="9" spans="1:4" s="222" customFormat="1" ht="12" customHeight="1" x14ac:dyDescent="0.25">
      <c r="A9" s="244" t="str">
        <f>'CM.TOT'!A59</f>
        <v>Franchigia LAMAL - KVG</v>
      </c>
      <c r="B9" s="450">
        <f>ANALYSIS!B116</f>
        <v>0</v>
      </c>
      <c r="C9" s="463" t="str">
        <f>'CM.TOT'!C253</f>
        <v xml:space="preserve">annuo </v>
      </c>
      <c r="D9" s="462" t="str">
        <f>ANALYSIS!B117</f>
        <v/>
      </c>
    </row>
    <row r="10" spans="1:4" s="227" customFormat="1" ht="12" customHeight="1" x14ac:dyDescent="0.25">
      <c r="A10" s="451" t="str">
        <f>'CM.TOT'!A60</f>
        <v>Base (LAMAL) - Basis (KVG)</v>
      </c>
      <c r="B10" s="450">
        <v>1</v>
      </c>
      <c r="C10" s="464" t="str">
        <f>'CM.TOT'!C59</f>
        <v xml:space="preserve">annuo </v>
      </c>
      <c r="D10" s="462">
        <v>1</v>
      </c>
    </row>
    <row r="11" spans="1:4" s="228" customFormat="1" ht="12" customHeight="1" x14ac:dyDescent="0.25">
      <c r="A11" s="451" t="str">
        <f>ANALYSIS!A122</f>
        <v xml:space="preserve">Libera scelta medici e ospedali </v>
      </c>
      <c r="B11" s="452">
        <f>ANALYSIS!B122</f>
        <v>0</v>
      </c>
      <c r="C11" s="464" t="str">
        <f>'CM.TOT'!C61</f>
        <v>100% CH + MONDO</v>
      </c>
      <c r="D11" s="465">
        <f>ANALYSIS!G122</f>
        <v>1</v>
      </c>
    </row>
    <row r="12" spans="1:4" s="228" customFormat="1" ht="12" customHeight="1" x14ac:dyDescent="0.25">
      <c r="A12" s="451" t="str">
        <f>ANALYSIS!A123</f>
        <v>Privata/semiprivata</v>
      </c>
      <c r="B12" s="452">
        <f>ANALYSIS!B123</f>
        <v>0</v>
      </c>
      <c r="C12" s="464" t="str">
        <f>A12</f>
        <v>Privata/semiprivata</v>
      </c>
      <c r="D12" s="465">
        <f>ANALYSIS!G123</f>
        <v>1</v>
      </c>
    </row>
    <row r="13" spans="1:4" s="228" customFormat="1" ht="12" customHeight="1" x14ac:dyDescent="0.25">
      <c r="A13" s="451" t="str">
        <f>ANALYSIS!A124</f>
        <v xml:space="preserve">Dentistista </v>
      </c>
      <c r="B13" s="452">
        <f>ANALYSIS!B124</f>
        <v>0</v>
      </c>
      <c r="C13" s="464" t="s">
        <v>210</v>
      </c>
      <c r="D13" s="465">
        <f>ANALYSIS!G124</f>
        <v>1</v>
      </c>
    </row>
    <row r="14" spans="1:4" s="228" customFormat="1" ht="12" customHeight="1" x14ac:dyDescent="0.25">
      <c r="A14" s="451" t="str">
        <f>ANALYSIS!A125</f>
        <v>Fitness</v>
      </c>
      <c r="B14" s="452">
        <f>ANALYSIS!B125</f>
        <v>0</v>
      </c>
      <c r="C14" s="464" t="str">
        <f>'CM.TOT'!C64</f>
        <v>CHf 200.-- / a.-J.</v>
      </c>
      <c r="D14" s="465">
        <f>ANALYSIS!G125</f>
        <v>1</v>
      </c>
    </row>
    <row r="15" spans="1:4" s="228" customFormat="1" ht="12" customHeight="1" x14ac:dyDescent="0.25">
      <c r="A15" s="451" t="str">
        <f>ANALYSIS!A126</f>
        <v xml:space="preserve">Occhiali e Lenti a contatto </v>
      </c>
      <c r="B15" s="452">
        <f>ANALYSIS!B126</f>
        <v>0</v>
      </c>
      <c r="C15" s="464" t="str">
        <f>'CM.TOT'!C65</f>
        <v>CHf 200.-- / 3 anno</v>
      </c>
      <c r="D15" s="465">
        <f>ANALYSIS!G126</f>
        <v>1</v>
      </c>
    </row>
    <row r="16" spans="1:4" s="228" customFormat="1" ht="12" customHeight="1" x14ac:dyDescent="0.25">
      <c r="A16" s="451" t="str">
        <f>ANALYSIS!A127</f>
        <v xml:space="preserve">Assistenza domiciliare </v>
      </c>
      <c r="B16" s="452">
        <f>ANALYSIS!B127</f>
        <v>0</v>
      </c>
      <c r="C16" s="464" t="str">
        <f>'CM.TOT'!C66</f>
        <v>50% max CHF 1500.--</v>
      </c>
      <c r="D16" s="465">
        <f>ANALYSIS!G127</f>
        <v>1</v>
      </c>
    </row>
    <row r="17" spans="1:4" s="228" customFormat="1" ht="12" customHeight="1" x14ac:dyDescent="0.25">
      <c r="A17" s="451" t="str">
        <f>ANALYSIS!A128</f>
        <v>Chec-kup</v>
      </c>
      <c r="B17" s="452">
        <f>ANALYSIS!B128</f>
        <v>0</v>
      </c>
      <c r="C17" s="466" t="str">
        <f>'CM.TOT'!C67</f>
        <v>90% / 3 anno</v>
      </c>
      <c r="D17" s="465">
        <f>ANALYSIS!G128</f>
        <v>1</v>
      </c>
    </row>
    <row r="18" spans="1:4" s="228" customFormat="1" ht="12" customHeight="1" x14ac:dyDescent="0.25">
      <c r="A18" s="451" t="str">
        <f>ANALYSIS!A129</f>
        <v xml:space="preserve">Prevenzione ginecologica </v>
      </c>
      <c r="B18" s="452">
        <f>ANALYSIS!B129</f>
        <v>0</v>
      </c>
      <c r="C18" s="466" t="str">
        <f>'CM.TOT'!C68</f>
        <v>90% Illimitato</v>
      </c>
      <c r="D18" s="465">
        <f>ANALYSIS!G129</f>
        <v>1</v>
      </c>
    </row>
    <row r="19" spans="1:4" s="228" customFormat="1" ht="12" customHeight="1" x14ac:dyDescent="0.25">
      <c r="A19" s="451" t="str">
        <f>ANALYSIS!A130</f>
        <v xml:space="preserve">Trasporto e salvataggio </v>
      </c>
      <c r="B19" s="452">
        <f>ANALYSIS!B130</f>
        <v>0</v>
      </c>
      <c r="C19" s="467" t="str">
        <f>'CM.TOT'!C69</f>
        <v>50% max 30 g./anno</v>
      </c>
      <c r="D19" s="465">
        <f>ANALYSIS!G130</f>
        <v>1</v>
      </c>
    </row>
    <row r="20" spans="1:4" s="228" customFormat="1" ht="12" customHeight="1" x14ac:dyDescent="0.25">
      <c r="A20" s="451" t="str">
        <f>ANALYSIS!A131</f>
        <v xml:space="preserve">Medicina alternativa </v>
      </c>
      <c r="B20" s="452">
        <f>ANALYSIS!B131</f>
        <v>0</v>
      </c>
      <c r="C20" s="468" t="str">
        <f>'CM.TOT'!C70</f>
        <v>60% illimitato</v>
      </c>
      <c r="D20" s="465">
        <f>ANALYSIS!G131</f>
        <v>1</v>
      </c>
    </row>
    <row r="21" spans="1:4" s="228" customFormat="1" ht="12" customHeight="1" x14ac:dyDescent="0.25">
      <c r="A21" s="451" t="str">
        <f>ANALYSIS!A132</f>
        <v xml:space="preserve">Medicianli fuorilista </v>
      </c>
      <c r="B21" s="452">
        <f>ANALYSIS!B132</f>
        <v>0</v>
      </c>
      <c r="C21" s="468" t="str">
        <f>'CM.TOT'!C71</f>
        <v>90% illimitato</v>
      </c>
      <c r="D21" s="465">
        <f>ANALYSIS!G132</f>
        <v>1</v>
      </c>
    </row>
    <row r="22" spans="1:4" s="228" customFormat="1" ht="12" customHeight="1" thickBot="1" x14ac:dyDescent="0.3">
      <c r="A22" s="451" t="str">
        <f>ANALYSIS!A133</f>
        <v xml:space="preserve">Altro </v>
      </c>
      <c r="B22" s="453">
        <f>ANALYSIS!B133</f>
        <v>0</v>
      </c>
      <c r="C22" s="466"/>
      <c r="D22" s="469">
        <f>ANALYSIS!G133</f>
        <v>1</v>
      </c>
    </row>
    <row r="23" spans="1:4" s="3" customFormat="1" ht="7" customHeight="1" x14ac:dyDescent="0.35"/>
    <row r="24" spans="1:4" ht="18.5" x14ac:dyDescent="0.45">
      <c r="A24" s="457" t="str">
        <f>Traduzioni!$G$258</f>
        <v xml:space="preserve">COPERTURE ATTUALI </v>
      </c>
      <c r="B24" s="455"/>
      <c r="D24" s="456" t="str">
        <f>Traduzioni!$G$259</f>
        <v>SOLUZIONE PROPOSTA</v>
      </c>
    </row>
    <row r="25" spans="1:4" x14ac:dyDescent="0.35">
      <c r="A25" s="5"/>
    </row>
    <row r="26" spans="1:4" x14ac:dyDescent="0.35">
      <c r="A26" s="5"/>
    </row>
    <row r="27" spans="1:4" x14ac:dyDescent="0.35">
      <c r="A27" s="5"/>
    </row>
    <row r="28" spans="1:4" x14ac:dyDescent="0.35">
      <c r="A28" s="5"/>
    </row>
    <row r="29" spans="1:4" x14ac:dyDescent="0.35">
      <c r="A29" s="5"/>
    </row>
    <row r="30" spans="1:4" x14ac:dyDescent="0.35">
      <c r="A30" s="5"/>
    </row>
    <row r="31" spans="1:4" x14ac:dyDescent="0.35">
      <c r="A31" s="5"/>
    </row>
    <row r="32" spans="1:4" x14ac:dyDescent="0.35">
      <c r="A32" s="5"/>
    </row>
    <row r="33" spans="1:1" x14ac:dyDescent="0.35">
      <c r="A33" s="5"/>
    </row>
    <row r="34" spans="1:1" x14ac:dyDescent="0.35">
      <c r="A34" s="5"/>
    </row>
    <row r="35" spans="1:1" x14ac:dyDescent="0.35">
      <c r="A35" s="5"/>
    </row>
    <row r="36" spans="1:1" x14ac:dyDescent="0.35">
      <c r="A36" s="5"/>
    </row>
    <row r="37" spans="1:1" x14ac:dyDescent="0.35">
      <c r="A37" s="5"/>
    </row>
    <row r="38" spans="1:1" x14ac:dyDescent="0.35">
      <c r="A38" s="5"/>
    </row>
    <row r="39" spans="1:1" x14ac:dyDescent="0.35">
      <c r="A39" s="5"/>
    </row>
    <row r="40" spans="1:1" x14ac:dyDescent="0.35">
      <c r="A40" s="5"/>
    </row>
    <row r="41" spans="1:1" x14ac:dyDescent="0.35">
      <c r="A41" s="5"/>
    </row>
    <row r="42" spans="1:1" x14ac:dyDescent="0.35">
      <c r="A42" s="5"/>
    </row>
    <row r="43" spans="1:1" x14ac:dyDescent="0.35">
      <c r="A43" s="5"/>
    </row>
    <row r="44" spans="1:1" x14ac:dyDescent="0.35">
      <c r="A44" s="5"/>
    </row>
    <row r="45" spans="1:1" x14ac:dyDescent="0.35">
      <c r="A45" s="5"/>
    </row>
    <row r="46" spans="1:1" x14ac:dyDescent="0.35">
      <c r="A46" s="5"/>
    </row>
    <row r="47" spans="1:1" s="2" customFormat="1" ht="13" x14ac:dyDescent="0.3"/>
    <row r="48" spans="1:1" s="2" customFormat="1" ht="13" x14ac:dyDescent="0.3"/>
    <row r="49" spans="1:5" s="2" customFormat="1" ht="13" x14ac:dyDescent="0.3"/>
    <row r="50" spans="1:5" s="2" customFormat="1" ht="13.5" thickBot="1" x14ac:dyDescent="0.35"/>
    <row r="51" spans="1:5" s="2" customFormat="1" x14ac:dyDescent="0.35">
      <c r="A51" s="372"/>
      <c r="B51" s="1444" t="str">
        <f>Traduzioni!G98&amp;" "&amp;ANALYSIS!B19</f>
        <v xml:space="preserve">ASSICURAZIONE SANITARIA    </v>
      </c>
      <c r="C51" s="1444"/>
      <c r="D51" s="1445"/>
      <c r="E51" s="1"/>
    </row>
    <row r="52" spans="1:5" s="2" customFormat="1" x14ac:dyDescent="0.35">
      <c r="A52" s="373"/>
      <c r="B52" s="1446" t="str">
        <f>Traduzioni!G368&amp;" "&amp;ANALYSIS!$B$3&amp;" - "&amp;'RENDITE CLIENTE'!$B$2</f>
        <v>Valutazione effettuata da:  - NeoLife AG</v>
      </c>
      <c r="C52" s="1446"/>
      <c r="D52" s="1447"/>
      <c r="E52" s="1"/>
    </row>
    <row r="53" spans="1:5" s="2" customFormat="1" x14ac:dyDescent="0.35">
      <c r="A53" s="373"/>
      <c r="B53" s="1448" t="str">
        <f>Traduzioni!G369&amp;" "&amp;Traduzioni!G229</f>
        <v>Parametri di calcolo: Premi Assicurazioni sanitarie</v>
      </c>
      <c r="C53" s="1448"/>
      <c r="D53" s="1449"/>
      <c r="E53" s="1"/>
    </row>
    <row r="54" spans="1:5" s="2" customFormat="1" ht="16" thickBot="1" x14ac:dyDescent="0.4">
      <c r="A54" s="374"/>
      <c r="B54" s="1450" t="str">
        <f>Traduzioni!G370</f>
        <v>Calcolo del:</v>
      </c>
      <c r="C54" s="1451"/>
      <c r="D54" s="454">
        <f ca="1">NOW()</f>
        <v>45680.292758333337</v>
      </c>
      <c r="E54" s="1"/>
    </row>
    <row r="55" spans="1:5" s="2" customFormat="1" ht="13" customHeight="1" thickBot="1" x14ac:dyDescent="0.35">
      <c r="A55" s="222"/>
      <c r="B55" s="222"/>
      <c r="C55" s="222"/>
      <c r="D55" s="222"/>
      <c r="E55" s="222"/>
    </row>
    <row r="56" spans="1:5" s="2" customFormat="1" ht="13" customHeight="1" x14ac:dyDescent="0.3">
      <c r="A56" s="222"/>
      <c r="B56" s="223" t="str">
        <f>Traduzioni!G219</f>
        <v xml:space="preserve">COPERTURE ATTUALI </v>
      </c>
      <c r="C56" s="224"/>
      <c r="D56" s="1442" t="str">
        <f>Traduzioni!G220</f>
        <v>SOLUZIONE PROPOSTA</v>
      </c>
      <c r="E56" s="222"/>
    </row>
    <row r="57" spans="1:5" s="2" customFormat="1" ht="16.5" customHeight="1" x14ac:dyDescent="0.3">
      <c r="A57" s="230" t="str">
        <f>Traduzioni!G223</f>
        <v>Cliente</v>
      </c>
      <c r="B57" s="225">
        <f>ANALYSIS!$B$19</f>
        <v>0</v>
      </c>
      <c r="C57" s="236" t="str">
        <f>Traduzioni!G221</f>
        <v>Differenza / Anno</v>
      </c>
      <c r="D57" s="1443"/>
      <c r="E57" s="222"/>
    </row>
    <row r="58" spans="1:5" s="2" customFormat="1" ht="12" customHeight="1" x14ac:dyDescent="0.3">
      <c r="A58" s="230" t="str">
        <f>Traduzioni!G224</f>
        <v>Tot. LAMAL + LCA - KVG + VVG</v>
      </c>
      <c r="B58" s="245">
        <f>ANALYSIS!B113</f>
        <v>0</v>
      </c>
      <c r="C58" s="237">
        <f>(B58-D58)*12</f>
        <v>0</v>
      </c>
      <c r="D58" s="251">
        <f>ANALYSIS!D137</f>
        <v>0</v>
      </c>
      <c r="E58" s="222"/>
    </row>
    <row r="59" spans="1:5" s="2" customFormat="1" ht="12" customHeight="1" x14ac:dyDescent="0.3">
      <c r="A59" s="230" t="str">
        <f>Traduzioni!G225</f>
        <v>Franchigia LAMAL - KVG</v>
      </c>
      <c r="B59" s="245">
        <f>ANALYSIS!B116</f>
        <v>0</v>
      </c>
      <c r="C59" s="235" t="str">
        <f>Traduzioni!G222</f>
        <v xml:space="preserve">annuo </v>
      </c>
      <c r="D59" s="251" t="str">
        <f>ANALYSIS!B117</f>
        <v/>
      </c>
      <c r="E59" s="222"/>
    </row>
    <row r="60" spans="1:5" s="2" customFormat="1" ht="12" customHeight="1" x14ac:dyDescent="0.3">
      <c r="A60" s="230" t="str">
        <f>Traduzioni!G226</f>
        <v>Base (LAMAL) - Basis (KVG)</v>
      </c>
      <c r="B60" s="245">
        <v>1</v>
      </c>
      <c r="C60" s="238"/>
      <c r="D60" s="251">
        <v>1</v>
      </c>
      <c r="E60" s="227"/>
    </row>
    <row r="61" spans="1:5" s="2" customFormat="1" ht="12" customHeight="1" x14ac:dyDescent="0.3">
      <c r="A61" s="231" t="str">
        <f>ANALYSIS!A122</f>
        <v xml:space="preserve">Libera scelta medici e ospedali </v>
      </c>
      <c r="B61" s="245">
        <f>ANALYSIS!B122</f>
        <v>0</v>
      </c>
      <c r="C61" s="238" t="str">
        <f>'Sigle per Analisi'!B91</f>
        <v>100% CH + MONDO</v>
      </c>
      <c r="D61" s="251">
        <f>ANALYSIS!G122</f>
        <v>1</v>
      </c>
      <c r="E61" s="227"/>
    </row>
    <row r="62" spans="1:5" s="2" customFormat="1" ht="12" customHeight="1" x14ac:dyDescent="0.3">
      <c r="A62" s="231" t="str">
        <f>ANALYSIS!A123</f>
        <v>Privata/semiprivata</v>
      </c>
      <c r="B62" s="245">
        <f>ANALYSIS!B123</f>
        <v>0</v>
      </c>
      <c r="C62" s="238" t="str">
        <f>A62</f>
        <v>Privata/semiprivata</v>
      </c>
      <c r="D62" s="251">
        <f>ANALYSIS!G123</f>
        <v>1</v>
      </c>
      <c r="E62" s="227"/>
    </row>
    <row r="63" spans="1:5" s="2" customFormat="1" ht="12" customHeight="1" x14ac:dyDescent="0.3">
      <c r="A63" s="231" t="str">
        <f>ANALYSIS!A124</f>
        <v xml:space="preserve">Dentistista </v>
      </c>
      <c r="B63" s="245">
        <f>ANALYSIS!B124</f>
        <v>0</v>
      </c>
      <c r="C63" s="238" t="str">
        <f>IF(ANALYSIS!B118=3,'Sigle per Analisi'!B80,IF(ANALYSIS!B118=0,"",'Sigle per Analisi'!B79))</f>
        <v>50% max CHF 500.--</v>
      </c>
      <c r="D63" s="251">
        <f>ANALYSIS!G124</f>
        <v>1</v>
      </c>
      <c r="E63" s="227"/>
    </row>
    <row r="64" spans="1:5" s="2" customFormat="1" ht="12" customHeight="1" x14ac:dyDescent="0.3">
      <c r="A64" s="231" t="str">
        <f>ANALYSIS!A125</f>
        <v>Fitness</v>
      </c>
      <c r="B64" s="245">
        <f>ANALYSIS!B125</f>
        <v>0</v>
      </c>
      <c r="C64" s="238" t="str">
        <f>'Sigle per Analisi'!B89</f>
        <v>CHf 200.-- / a.-J.</v>
      </c>
      <c r="D64" s="251">
        <f>ANALYSIS!G125</f>
        <v>1</v>
      </c>
      <c r="E64" s="227"/>
    </row>
    <row r="65" spans="1:5" s="2" customFormat="1" ht="12" customHeight="1" x14ac:dyDescent="0.3">
      <c r="A65" s="231" t="str">
        <f>ANALYSIS!A126</f>
        <v xml:space="preserve">Occhiali e Lenti a contatto </v>
      </c>
      <c r="B65" s="245">
        <f>ANALYSIS!B126</f>
        <v>0</v>
      </c>
      <c r="C65" s="238" t="str">
        <f>'Sigle per Analisi'!B90</f>
        <v>CHf 200.-- / 3 anno</v>
      </c>
      <c r="D65" s="251">
        <f>ANALYSIS!G126</f>
        <v>1</v>
      </c>
      <c r="E65" s="227"/>
    </row>
    <row r="66" spans="1:5" s="2" customFormat="1" ht="12" customHeight="1" x14ac:dyDescent="0.3">
      <c r="A66" s="231" t="str">
        <f>ANALYSIS!A127</f>
        <v xml:space="preserve">Assistenza domiciliare </v>
      </c>
      <c r="B66" s="245">
        <f>ANALYSIS!B127</f>
        <v>0</v>
      </c>
      <c r="C66" s="238" t="str">
        <f>'Sigle per Analisi'!B81</f>
        <v>50% max CHF 1500.--</v>
      </c>
      <c r="D66" s="251">
        <f>ANALYSIS!G127</f>
        <v>1</v>
      </c>
      <c r="E66" s="227"/>
    </row>
    <row r="67" spans="1:5" s="2" customFormat="1" ht="12" customHeight="1" x14ac:dyDescent="0.3">
      <c r="A67" s="231" t="str">
        <f>ANALYSIS!A128</f>
        <v>Chec-kup</v>
      </c>
      <c r="B67" s="245">
        <f>ANALYSIS!B128</f>
        <v>0</v>
      </c>
      <c r="C67" s="239" t="str">
        <f>'Sigle per Analisi'!B83</f>
        <v>90% / 3 anno</v>
      </c>
      <c r="D67" s="251">
        <f>ANALYSIS!G128</f>
        <v>1</v>
      </c>
      <c r="E67" s="227"/>
    </row>
    <row r="68" spans="1:5" s="2" customFormat="1" ht="12" customHeight="1" x14ac:dyDescent="0.3">
      <c r="A68" s="231" t="str">
        <f>ANALYSIS!A129</f>
        <v xml:space="preserve">Prevenzione ginecologica </v>
      </c>
      <c r="B68" s="245">
        <f>ANALYSIS!B129</f>
        <v>0</v>
      </c>
      <c r="C68" s="239" t="str">
        <f>'Sigle per Analisi'!B84</f>
        <v>90% Illimitato</v>
      </c>
      <c r="D68" s="251">
        <f>ANALYSIS!G129</f>
        <v>1</v>
      </c>
      <c r="E68" s="227"/>
    </row>
    <row r="69" spans="1:5" s="2" customFormat="1" ht="12" customHeight="1" x14ac:dyDescent="0.3">
      <c r="A69" s="231" t="str">
        <f>ANALYSIS!A130</f>
        <v xml:space="preserve">Trasporto e salvataggio </v>
      </c>
      <c r="B69" s="245">
        <f>ANALYSIS!B130</f>
        <v>0</v>
      </c>
      <c r="C69" s="240" t="str">
        <f>'Sigle per Analisi'!B82</f>
        <v>50% max 30 g./anno</v>
      </c>
      <c r="D69" s="251">
        <f>ANALYSIS!G130</f>
        <v>1</v>
      </c>
      <c r="E69" s="227"/>
    </row>
    <row r="70" spans="1:5" s="2" customFormat="1" ht="12" customHeight="1" x14ac:dyDescent="0.3">
      <c r="A70" s="231" t="str">
        <f>ANALYSIS!A131</f>
        <v xml:space="preserve">Medicina alternativa </v>
      </c>
      <c r="B70" s="245">
        <f>ANALYSIS!B131</f>
        <v>0</v>
      </c>
      <c r="C70" s="241" t="str">
        <f>'Sigle per Analisi'!B86</f>
        <v>60% illimitato</v>
      </c>
      <c r="D70" s="251">
        <f>ANALYSIS!G131</f>
        <v>1</v>
      </c>
      <c r="E70" s="227"/>
    </row>
    <row r="71" spans="1:5" s="2" customFormat="1" ht="12" customHeight="1" x14ac:dyDescent="0.3">
      <c r="A71" s="231" t="str">
        <f>ANALYSIS!A132</f>
        <v xml:space="preserve">Medicianli fuorilista </v>
      </c>
      <c r="B71" s="245">
        <f>ANALYSIS!B132</f>
        <v>0</v>
      </c>
      <c r="C71" s="241" t="str">
        <f>'Sigle per Analisi'!B87</f>
        <v>90% illimitato</v>
      </c>
      <c r="D71" s="251">
        <f>ANALYSIS!G132</f>
        <v>1</v>
      </c>
      <c r="E71" s="227"/>
    </row>
    <row r="72" spans="1:5" s="2" customFormat="1" ht="12" customHeight="1" thickBot="1" x14ac:dyDescent="0.35">
      <c r="A72" s="231" t="str">
        <f>ANALYSIS!A133</f>
        <v xml:space="preserve">Altro </v>
      </c>
      <c r="B72" s="246">
        <f>ANALYSIS!B133</f>
        <v>0</v>
      </c>
      <c r="C72" s="232"/>
      <c r="D72" s="254">
        <f>ANALYSIS!G133</f>
        <v>1</v>
      </c>
      <c r="E72" s="227"/>
    </row>
    <row r="73" spans="1:5" s="2" customFormat="1" ht="6.5" customHeight="1" x14ac:dyDescent="0.35">
      <c r="A73" s="3"/>
      <c r="B73" s="3"/>
      <c r="C73" s="3"/>
      <c r="D73" s="3"/>
      <c r="E73" s="3"/>
    </row>
    <row r="74" spans="1:5" s="2" customFormat="1" ht="18.5" x14ac:dyDescent="0.45">
      <c r="A74" s="457" t="str">
        <f>Traduzioni!$G$258</f>
        <v xml:space="preserve">COPERTURE ATTUALI </v>
      </c>
      <c r="B74" s="455"/>
      <c r="C74" s="1"/>
      <c r="D74" s="456" t="str">
        <f>Traduzioni!$G$259</f>
        <v>SOLUZIONE PROPOSTA</v>
      </c>
      <c r="E74" s="1"/>
    </row>
    <row r="75" spans="1:5" s="2" customFormat="1" x14ac:dyDescent="0.35">
      <c r="A75" s="5"/>
      <c r="B75" s="1"/>
      <c r="C75" s="1"/>
      <c r="D75" s="1"/>
      <c r="E75" s="1"/>
    </row>
    <row r="76" spans="1:5" s="2" customFormat="1" x14ac:dyDescent="0.35">
      <c r="A76" s="5"/>
      <c r="B76" s="1"/>
      <c r="C76" s="1"/>
      <c r="D76" s="1"/>
      <c r="E76" s="1"/>
    </row>
    <row r="77" spans="1:5" s="2" customFormat="1" x14ac:dyDescent="0.35">
      <c r="A77" s="5"/>
      <c r="B77" s="1"/>
      <c r="C77" s="1"/>
      <c r="D77" s="1"/>
      <c r="E77" s="1"/>
    </row>
    <row r="78" spans="1:5" s="2" customFormat="1" x14ac:dyDescent="0.35">
      <c r="A78" s="5"/>
      <c r="B78" s="1"/>
      <c r="C78" s="1"/>
      <c r="D78" s="1"/>
      <c r="E78" s="1"/>
    </row>
    <row r="79" spans="1:5" s="2" customFormat="1" x14ac:dyDescent="0.35">
      <c r="A79" s="5"/>
      <c r="B79" s="1"/>
      <c r="C79" s="1"/>
      <c r="D79" s="1"/>
      <c r="E79" s="1"/>
    </row>
    <row r="80" spans="1:5" s="2" customFormat="1" x14ac:dyDescent="0.35">
      <c r="A80" s="5"/>
      <c r="B80" s="1"/>
      <c r="C80" s="1"/>
      <c r="D80" s="1"/>
      <c r="E80" s="1"/>
    </row>
    <row r="81" spans="1:5" s="2" customFormat="1" x14ac:dyDescent="0.35">
      <c r="A81" s="5"/>
      <c r="B81" s="1"/>
      <c r="C81" s="1"/>
      <c r="D81" s="1"/>
      <c r="E81" s="1"/>
    </row>
    <row r="82" spans="1:5" s="2" customFormat="1" x14ac:dyDescent="0.35">
      <c r="A82" s="5"/>
      <c r="B82" s="1"/>
      <c r="C82" s="1"/>
      <c r="D82" s="1"/>
      <c r="E82" s="1"/>
    </row>
    <row r="83" spans="1:5" s="2" customFormat="1" x14ac:dyDescent="0.35">
      <c r="A83" s="5"/>
      <c r="B83" s="1"/>
      <c r="C83" s="1"/>
      <c r="D83" s="1"/>
      <c r="E83" s="1"/>
    </row>
    <row r="84" spans="1:5" s="2" customFormat="1" x14ac:dyDescent="0.35">
      <c r="A84" s="5"/>
      <c r="B84" s="1"/>
      <c r="C84" s="1"/>
      <c r="D84" s="1"/>
      <c r="E84" s="1"/>
    </row>
    <row r="85" spans="1:5" s="2" customFormat="1" x14ac:dyDescent="0.35">
      <c r="A85" s="5"/>
      <c r="B85" s="1"/>
      <c r="C85" s="1"/>
      <c r="D85" s="1"/>
      <c r="E85" s="1"/>
    </row>
    <row r="86" spans="1:5" s="2" customFormat="1" x14ac:dyDescent="0.35">
      <c r="A86" s="5"/>
      <c r="B86" s="1"/>
      <c r="C86" s="1"/>
      <c r="D86" s="1"/>
      <c r="E86" s="1"/>
    </row>
    <row r="87" spans="1:5" s="2" customFormat="1" x14ac:dyDescent="0.35">
      <c r="A87" s="5"/>
      <c r="B87" s="1"/>
      <c r="C87" s="1"/>
      <c r="D87" s="1"/>
      <c r="E87" s="1"/>
    </row>
    <row r="88" spans="1:5" s="2" customFormat="1" x14ac:dyDescent="0.35">
      <c r="A88" s="5"/>
      <c r="B88" s="1"/>
      <c r="C88" s="1"/>
      <c r="D88" s="1"/>
      <c r="E88" s="1"/>
    </row>
    <row r="89" spans="1:5" s="2" customFormat="1" x14ac:dyDescent="0.35">
      <c r="A89" s="5"/>
      <c r="B89" s="1"/>
      <c r="C89" s="1"/>
      <c r="D89" s="1"/>
      <c r="E89" s="1"/>
    </row>
    <row r="90" spans="1:5" s="2" customFormat="1" x14ac:dyDescent="0.35">
      <c r="A90" s="5"/>
      <c r="B90" s="1"/>
      <c r="C90" s="1"/>
      <c r="D90" s="1"/>
      <c r="E90" s="1"/>
    </row>
    <row r="91" spans="1:5" s="2" customFormat="1" x14ac:dyDescent="0.35">
      <c r="A91" s="5"/>
      <c r="B91" s="1"/>
      <c r="C91" s="1"/>
      <c r="D91" s="1"/>
      <c r="E91" s="1"/>
    </row>
    <row r="92" spans="1:5" s="2" customFormat="1" x14ac:dyDescent="0.35">
      <c r="A92" s="5"/>
      <c r="B92" s="1"/>
      <c r="C92" s="1"/>
      <c r="D92" s="1"/>
      <c r="E92" s="1"/>
    </row>
    <row r="93" spans="1:5" s="2" customFormat="1" x14ac:dyDescent="0.35">
      <c r="A93" s="5"/>
      <c r="B93" s="1"/>
      <c r="C93" s="1"/>
      <c r="D93" s="1"/>
      <c r="E93" s="1"/>
    </row>
    <row r="94" spans="1:5" s="2" customFormat="1" x14ac:dyDescent="0.35">
      <c r="A94" s="5"/>
      <c r="B94" s="1"/>
      <c r="C94" s="1"/>
      <c r="D94" s="1"/>
      <c r="E94" s="1"/>
    </row>
    <row r="95" spans="1:5" s="2" customFormat="1" x14ac:dyDescent="0.35">
      <c r="A95" s="5"/>
      <c r="B95" s="1"/>
      <c r="C95" s="1"/>
      <c r="D95" s="1"/>
      <c r="E95" s="1"/>
    </row>
    <row r="96" spans="1:5" s="2" customFormat="1" x14ac:dyDescent="0.35">
      <c r="A96" s="5"/>
      <c r="B96" s="1"/>
      <c r="C96" s="1"/>
      <c r="D96" s="1"/>
      <c r="E96" s="1"/>
    </row>
    <row r="97" spans="1:5" s="2" customFormat="1" ht="13.5" thickBot="1" x14ac:dyDescent="0.35"/>
    <row r="98" spans="1:5" x14ac:dyDescent="0.35">
      <c r="A98" s="372"/>
      <c r="B98" s="1444" t="str">
        <f>Traduzioni!$G$98&amp;" "&amp;ANALYSIS!C19</f>
        <v xml:space="preserve">ASSICURAZIONE SANITARIA    </v>
      </c>
      <c r="C98" s="1444"/>
      <c r="D98" s="1445"/>
    </row>
    <row r="99" spans="1:5" x14ac:dyDescent="0.35">
      <c r="A99" s="373"/>
      <c r="B99" s="1446" t="str">
        <f>Traduzioni!G368&amp;" "&amp;ANALYSIS!$B$3&amp;" - "&amp;'RENDITE CLIENTE'!$B$2</f>
        <v>Valutazione effettuata da:  - NeoLife AG</v>
      </c>
      <c r="C99" s="1446"/>
      <c r="D99" s="1447"/>
    </row>
    <row r="100" spans="1:5" x14ac:dyDescent="0.35">
      <c r="A100" s="373"/>
      <c r="B100" s="1448" t="str">
        <f>Traduzioni!G369&amp;" "&amp;Traduzioni!G229</f>
        <v>Parametri di calcolo: Premi Assicurazioni sanitarie</v>
      </c>
      <c r="C100" s="1448"/>
      <c r="D100" s="1449"/>
    </row>
    <row r="101" spans="1:5" ht="16" thickBot="1" x14ac:dyDescent="0.4">
      <c r="A101" s="374"/>
      <c r="B101" s="1450" t="str">
        <f>Traduzioni!G370</f>
        <v>Calcolo del:</v>
      </c>
      <c r="C101" s="1451"/>
      <c r="D101" s="454">
        <f ca="1">NOW()</f>
        <v>45680.292758333337</v>
      </c>
    </row>
    <row r="102" spans="1:5" ht="16" thickBot="1" x14ac:dyDescent="0.4">
      <c r="A102" s="222"/>
      <c r="B102" s="222"/>
      <c r="C102" s="222"/>
      <c r="D102" s="222"/>
      <c r="E102" s="222"/>
    </row>
    <row r="103" spans="1:5" x14ac:dyDescent="0.35">
      <c r="A103" s="226"/>
      <c r="B103" s="223" t="str">
        <f>'CM.TOT'!B56</f>
        <v xml:space="preserve">COPERTURE ATTUALI </v>
      </c>
      <c r="C103" s="233"/>
      <c r="D103" s="1442" t="str">
        <f>Traduzioni!G220</f>
        <v>SOLUZIONE PROPOSTA</v>
      </c>
      <c r="E103" s="226"/>
    </row>
    <row r="104" spans="1:5" ht="18.5" x14ac:dyDescent="0.35">
      <c r="A104" s="229" t="str">
        <f>'CM.TOT'!A57</f>
        <v>Cliente</v>
      </c>
      <c r="B104" s="225">
        <f>ANALYSIS!C19</f>
        <v>0</v>
      </c>
      <c r="C104" s="236" t="str">
        <f>'CM.TOT'!C57</f>
        <v>Differenza / Anno</v>
      </c>
      <c r="D104" s="1443"/>
      <c r="E104" s="222"/>
    </row>
    <row r="105" spans="1:5" ht="13" customHeight="1" x14ac:dyDescent="0.35">
      <c r="A105" s="229" t="str">
        <f>'CM.TOT'!A58</f>
        <v>Tot. LAMAL + LCA - KVG + VVG</v>
      </c>
      <c r="B105" s="245">
        <f>ANALYSIS!C113</f>
        <v>0</v>
      </c>
      <c r="C105" s="237">
        <f>(B105-D105)*12</f>
        <v>0</v>
      </c>
      <c r="D105" s="251">
        <f>ANALYSIS!D138</f>
        <v>0</v>
      </c>
      <c r="E105" s="222"/>
    </row>
    <row r="106" spans="1:5" ht="13" customHeight="1" x14ac:dyDescent="0.35">
      <c r="A106" s="229" t="str">
        <f>'CM.TOT'!A59</f>
        <v>Franchigia LAMAL - KVG</v>
      </c>
      <c r="B106" s="245">
        <f>ANALYSIS!C116</f>
        <v>0</v>
      </c>
      <c r="C106" s="235" t="str">
        <f>'CM.TOT'!C59</f>
        <v xml:space="preserve">annuo </v>
      </c>
      <c r="D106" s="251" t="str">
        <f>ANALYSIS!C117</f>
        <v/>
      </c>
      <c r="E106" s="222"/>
    </row>
    <row r="107" spans="1:5" ht="13" customHeight="1" x14ac:dyDescent="0.35">
      <c r="A107" s="229" t="str">
        <f>'CM.TOT'!A60</f>
        <v>Base (LAMAL) - Basis (KVG)</v>
      </c>
      <c r="B107" s="245">
        <v>1</v>
      </c>
      <c r="C107" s="238"/>
      <c r="D107" s="251">
        <v>1</v>
      </c>
      <c r="E107" s="227"/>
    </row>
    <row r="108" spans="1:5" ht="13" customHeight="1" x14ac:dyDescent="0.35">
      <c r="A108" s="231" t="str">
        <f>ANALYSIS!A122</f>
        <v xml:space="preserve">Libera scelta medici e ospedali </v>
      </c>
      <c r="B108" s="247">
        <f>ANALYSIS!C122</f>
        <v>0</v>
      </c>
      <c r="C108" s="238" t="str">
        <f>'Sigle per Analisi'!B91</f>
        <v>100% CH + MONDO</v>
      </c>
      <c r="D108" s="252">
        <f>ANALYSIS!H122</f>
        <v>1</v>
      </c>
      <c r="E108" s="228"/>
    </row>
    <row r="109" spans="1:5" ht="13" customHeight="1" x14ac:dyDescent="0.35">
      <c r="A109" s="231" t="str">
        <f>ANALYSIS!A123</f>
        <v>Privata/semiprivata</v>
      </c>
      <c r="B109" s="247">
        <f>ANALYSIS!C123</f>
        <v>0</v>
      </c>
      <c r="C109" s="238" t="str">
        <f>A109</f>
        <v>Privata/semiprivata</v>
      </c>
      <c r="D109" s="252">
        <f>ANALYSIS!H123</f>
        <v>1</v>
      </c>
      <c r="E109" s="228"/>
    </row>
    <row r="110" spans="1:5" ht="13" customHeight="1" x14ac:dyDescent="0.35">
      <c r="A110" s="231" t="str">
        <f>ANALYSIS!A124</f>
        <v xml:space="preserve">Dentistista </v>
      </c>
      <c r="B110" s="247">
        <f>ANALYSIS!C124</f>
        <v>0</v>
      </c>
      <c r="C110" s="238" t="str">
        <f>IF(ANALYSIS!C118=3,'Sigle per Analisi'!B80,IF(ANALYSIS!C118=0,"",'Sigle per Analisi'!B79))</f>
        <v>50% max CHF 500.--</v>
      </c>
      <c r="D110" s="252">
        <f>ANALYSIS!H124</f>
        <v>1</v>
      </c>
      <c r="E110" s="228"/>
    </row>
    <row r="111" spans="1:5" ht="13" customHeight="1" x14ac:dyDescent="0.35">
      <c r="A111" s="231" t="str">
        <f>ANALYSIS!A125</f>
        <v>Fitness</v>
      </c>
      <c r="B111" s="247">
        <f>ANALYSIS!C125</f>
        <v>0</v>
      </c>
      <c r="C111" s="238" t="str">
        <f>'Sigle per Analisi'!B89</f>
        <v>CHf 200.-- / a.-J.</v>
      </c>
      <c r="D111" s="252">
        <f>ANALYSIS!H125</f>
        <v>1</v>
      </c>
      <c r="E111" s="228"/>
    </row>
    <row r="112" spans="1:5" ht="13" customHeight="1" x14ac:dyDescent="0.35">
      <c r="A112" s="231" t="str">
        <f>ANALYSIS!A126</f>
        <v xml:space="preserve">Occhiali e Lenti a contatto </v>
      </c>
      <c r="B112" s="247">
        <f>ANALYSIS!C126</f>
        <v>0</v>
      </c>
      <c r="C112" s="238" t="str">
        <f>'Sigle per Analisi'!B90</f>
        <v>CHf 200.-- / 3 anno</v>
      </c>
      <c r="D112" s="252">
        <f>ANALYSIS!H126</f>
        <v>1</v>
      </c>
      <c r="E112" s="228"/>
    </row>
    <row r="113" spans="1:5" ht="13" customHeight="1" x14ac:dyDescent="0.35">
      <c r="A113" s="231" t="str">
        <f>ANALYSIS!A127</f>
        <v xml:space="preserve">Assistenza domiciliare </v>
      </c>
      <c r="B113" s="247">
        <f>ANALYSIS!C127</f>
        <v>0</v>
      </c>
      <c r="C113" s="238" t="str">
        <f>'Sigle per Analisi'!B81</f>
        <v>50% max CHF 1500.--</v>
      </c>
      <c r="D113" s="252">
        <f>ANALYSIS!H127</f>
        <v>1</v>
      </c>
      <c r="E113" s="228"/>
    </row>
    <row r="114" spans="1:5" ht="13" customHeight="1" x14ac:dyDescent="0.35">
      <c r="A114" s="231" t="str">
        <f>ANALYSIS!A128</f>
        <v>Chec-kup</v>
      </c>
      <c r="B114" s="247">
        <f>ANALYSIS!C128</f>
        <v>0</v>
      </c>
      <c r="C114" s="239" t="str">
        <f>'Sigle per Analisi'!B83</f>
        <v>90% / 3 anno</v>
      </c>
      <c r="D114" s="252">
        <f>ANALYSIS!H128</f>
        <v>1</v>
      </c>
      <c r="E114" s="228"/>
    </row>
    <row r="115" spans="1:5" ht="13" customHeight="1" x14ac:dyDescent="0.35">
      <c r="A115" s="231" t="str">
        <f>ANALYSIS!A129</f>
        <v xml:space="preserve">Prevenzione ginecologica </v>
      </c>
      <c r="B115" s="247">
        <f>ANALYSIS!C129</f>
        <v>0</v>
      </c>
      <c r="C115" s="239" t="str">
        <f>'Sigle per Analisi'!B84</f>
        <v>90% Illimitato</v>
      </c>
      <c r="D115" s="252">
        <f>ANALYSIS!H129</f>
        <v>1</v>
      </c>
      <c r="E115" s="228"/>
    </row>
    <row r="116" spans="1:5" ht="13" customHeight="1" x14ac:dyDescent="0.35">
      <c r="A116" s="231" t="str">
        <f>ANALYSIS!A130</f>
        <v xml:space="preserve">Trasporto e salvataggio </v>
      </c>
      <c r="B116" s="247">
        <f>ANALYSIS!C130</f>
        <v>0</v>
      </c>
      <c r="C116" s="240" t="str">
        <f>'Sigle per Analisi'!B82</f>
        <v>50% max 30 g./anno</v>
      </c>
      <c r="D116" s="252">
        <f>ANALYSIS!H130</f>
        <v>1</v>
      </c>
      <c r="E116" s="228"/>
    </row>
    <row r="117" spans="1:5" ht="13" customHeight="1" x14ac:dyDescent="0.35">
      <c r="A117" s="231" t="str">
        <f>ANALYSIS!A131</f>
        <v xml:space="preserve">Medicina alternativa </v>
      </c>
      <c r="B117" s="247">
        <f>ANALYSIS!C131</f>
        <v>0</v>
      </c>
      <c r="C117" s="241" t="str">
        <f>'Sigle per Analisi'!B86</f>
        <v>60% illimitato</v>
      </c>
      <c r="D117" s="252">
        <f>ANALYSIS!H131</f>
        <v>1</v>
      </c>
      <c r="E117" s="228"/>
    </row>
    <row r="118" spans="1:5" ht="13" customHeight="1" x14ac:dyDescent="0.35">
      <c r="A118" s="231" t="str">
        <f>ANALYSIS!A132</f>
        <v xml:space="preserve">Medicianli fuorilista </v>
      </c>
      <c r="B118" s="247">
        <f>ANALYSIS!C132</f>
        <v>0</v>
      </c>
      <c r="C118" s="241" t="str">
        <f>'Sigle per Analisi'!B87</f>
        <v>90% illimitato</v>
      </c>
      <c r="D118" s="252">
        <f>ANALYSIS!H132</f>
        <v>1</v>
      </c>
      <c r="E118" s="228"/>
    </row>
    <row r="119" spans="1:5" ht="13" customHeight="1" thickBot="1" x14ac:dyDescent="0.4">
      <c r="A119" s="231" t="str">
        <f>ANALYSIS!A133</f>
        <v xml:space="preserve">Altro </v>
      </c>
      <c r="B119" s="248">
        <f>ANALYSIS!C133</f>
        <v>0</v>
      </c>
      <c r="C119" s="232"/>
      <c r="D119" s="253">
        <f>ANALYSIS!H133</f>
        <v>1</v>
      </c>
      <c r="E119" s="228"/>
    </row>
    <row r="120" spans="1:5" ht="9" customHeight="1" x14ac:dyDescent="0.35">
      <c r="A120" s="3"/>
      <c r="B120" s="3"/>
      <c r="C120" s="3"/>
      <c r="D120" s="3"/>
      <c r="E120" s="3"/>
    </row>
    <row r="121" spans="1:5" ht="18.5" x14ac:dyDescent="0.45">
      <c r="A121" s="457" t="str">
        <f>Traduzioni!$G$258</f>
        <v xml:space="preserve">COPERTURE ATTUALI </v>
      </c>
      <c r="B121" s="455"/>
      <c r="D121" s="456" t="str">
        <f>Traduzioni!$G$259</f>
        <v>SOLUZIONE PROPOSTA</v>
      </c>
    </row>
    <row r="122" spans="1:5" x14ac:dyDescent="0.35">
      <c r="A122" s="5"/>
    </row>
    <row r="123" spans="1:5" x14ac:dyDescent="0.35">
      <c r="A123" s="5"/>
    </row>
    <row r="124" spans="1:5" x14ac:dyDescent="0.35">
      <c r="A124" s="5"/>
    </row>
    <row r="125" spans="1:5" x14ac:dyDescent="0.35">
      <c r="A125" s="5"/>
    </row>
    <row r="126" spans="1:5" x14ac:dyDescent="0.35">
      <c r="A126" s="5"/>
    </row>
    <row r="127" spans="1:5" x14ac:dyDescent="0.35">
      <c r="A127" s="5"/>
    </row>
    <row r="128" spans="1:5" x14ac:dyDescent="0.35">
      <c r="A128" s="5"/>
    </row>
    <row r="129" spans="1:5" x14ac:dyDescent="0.35">
      <c r="A129" s="5"/>
    </row>
    <row r="130" spans="1:5" x14ac:dyDescent="0.35">
      <c r="A130" s="5"/>
    </row>
    <row r="131" spans="1:5" x14ac:dyDescent="0.35">
      <c r="A131" s="5"/>
    </row>
    <row r="132" spans="1:5" x14ac:dyDescent="0.35">
      <c r="A132" s="5"/>
    </row>
    <row r="133" spans="1:5" x14ac:dyDescent="0.35">
      <c r="A133" s="5"/>
    </row>
    <row r="134" spans="1:5" x14ac:dyDescent="0.35">
      <c r="A134" s="5"/>
    </row>
    <row r="135" spans="1:5" x14ac:dyDescent="0.35">
      <c r="A135" s="5"/>
    </row>
    <row r="136" spans="1:5" x14ac:dyDescent="0.35">
      <c r="A136" s="5"/>
    </row>
    <row r="137" spans="1:5" x14ac:dyDescent="0.35">
      <c r="A137" s="5"/>
    </row>
    <row r="138" spans="1:5" x14ac:dyDescent="0.35">
      <c r="A138" s="5"/>
    </row>
    <row r="139" spans="1:5" x14ac:dyDescent="0.35">
      <c r="A139" s="5"/>
    </row>
    <row r="140" spans="1:5" x14ac:dyDescent="0.35">
      <c r="A140" s="5"/>
    </row>
    <row r="141" spans="1:5" x14ac:dyDescent="0.35">
      <c r="A141" s="5"/>
    </row>
    <row r="142" spans="1:5" x14ac:dyDescent="0.35">
      <c r="A142" s="5"/>
    </row>
    <row r="143" spans="1:5" x14ac:dyDescent="0.35">
      <c r="A143" s="5"/>
    </row>
    <row r="144" spans="1:5" x14ac:dyDescent="0.35">
      <c r="A144" s="2"/>
      <c r="B144" s="2"/>
      <c r="C144" s="2"/>
      <c r="D144" s="2"/>
      <c r="E144" s="2"/>
    </row>
    <row r="145" spans="1:5" x14ac:dyDescent="0.35">
      <c r="A145" s="2"/>
      <c r="B145" s="2"/>
      <c r="C145" s="2"/>
      <c r="D145" s="2"/>
      <c r="E145" s="2"/>
    </row>
    <row r="146" spans="1:5" ht="16" thickBot="1" x14ac:dyDescent="0.4">
      <c r="A146" s="2"/>
      <c r="B146" s="2"/>
      <c r="C146" s="2"/>
      <c r="D146" s="2"/>
      <c r="E146" s="2"/>
    </row>
    <row r="147" spans="1:5" x14ac:dyDescent="0.35">
      <c r="A147" s="372"/>
      <c r="B147" s="1444" t="str">
        <f>Traduzioni!$G$98&amp;" "&amp;ANALYSIS!B31</f>
        <v xml:space="preserve">ASSICURAZIONE SANITARIA    </v>
      </c>
      <c r="C147" s="1444"/>
      <c r="D147" s="1445"/>
    </row>
    <row r="148" spans="1:5" x14ac:dyDescent="0.35">
      <c r="A148" s="373"/>
      <c r="B148" s="1446" t="str">
        <f>Traduzioni!G368&amp;" "&amp;ANALYSIS!$B$3&amp;" - "&amp;'RENDITE CLIENTE'!$B$2</f>
        <v>Valutazione effettuata da:  - NeoLife AG</v>
      </c>
      <c r="C148" s="1446"/>
      <c r="D148" s="1447"/>
    </row>
    <row r="149" spans="1:5" x14ac:dyDescent="0.35">
      <c r="A149" s="373"/>
      <c r="B149" s="1448" t="str">
        <f>Traduzioni!G369&amp;" "&amp;Traduzioni!G229</f>
        <v>Parametri di calcolo: Premi Assicurazioni sanitarie</v>
      </c>
      <c r="C149" s="1448"/>
      <c r="D149" s="1449"/>
    </row>
    <row r="150" spans="1:5" ht="16" thickBot="1" x14ac:dyDescent="0.4">
      <c r="A150" s="374"/>
      <c r="B150" s="1450" t="str">
        <f>Traduzioni!G370</f>
        <v>Calcolo del:</v>
      </c>
      <c r="C150" s="1451"/>
      <c r="D150" s="454">
        <f ca="1">NOW()</f>
        <v>45680.292758333337</v>
      </c>
    </row>
    <row r="151" spans="1:5" ht="16" thickBot="1" x14ac:dyDescent="0.4">
      <c r="A151" s="222"/>
      <c r="B151" s="222"/>
      <c r="C151" s="222"/>
      <c r="D151" s="222"/>
      <c r="E151" s="222"/>
    </row>
    <row r="152" spans="1:5" x14ac:dyDescent="0.35">
      <c r="A152" s="222"/>
      <c r="B152" s="243" t="str">
        <f>'CM.TOT'!B103</f>
        <v xml:space="preserve">COPERTURE ATTUALI </v>
      </c>
      <c r="C152" s="224"/>
      <c r="D152" s="1442" t="str">
        <f>Traduzioni!G220</f>
        <v>SOLUZIONE PROPOSTA</v>
      </c>
      <c r="E152" s="222"/>
    </row>
    <row r="153" spans="1:5" ht="18.5" x14ac:dyDescent="0.35">
      <c r="A153" s="229" t="str">
        <f>'CM.TOT'!A57</f>
        <v>Cliente</v>
      </c>
      <c r="B153" s="481">
        <f>ANALYSIS!B31</f>
        <v>0</v>
      </c>
      <c r="C153" s="236" t="str">
        <f>'CM.TOT'!$C$57</f>
        <v>Differenza / Anno</v>
      </c>
      <c r="D153" s="1443"/>
      <c r="E153" s="222"/>
    </row>
    <row r="154" spans="1:5" ht="13" customHeight="1" x14ac:dyDescent="0.35">
      <c r="A154" s="229" t="str">
        <f>'CM.TOT'!A58</f>
        <v>Tot. LAMAL + LCA - KVG + VVG</v>
      </c>
      <c r="B154" s="249">
        <f>ANALYSIS!D113</f>
        <v>0</v>
      </c>
      <c r="C154" s="237">
        <f>(B154-D154)*12</f>
        <v>0</v>
      </c>
      <c r="D154" s="251">
        <f>ANALYSIS!D139</f>
        <v>0</v>
      </c>
      <c r="E154" s="222"/>
    </row>
    <row r="155" spans="1:5" ht="13" customHeight="1" x14ac:dyDescent="0.35">
      <c r="A155" s="229" t="str">
        <f>'CM.TOT'!A59</f>
        <v>Franchigia LAMAL - KVG</v>
      </c>
      <c r="B155" s="249">
        <f>ANALYSIS!D114</f>
        <v>0</v>
      </c>
      <c r="C155" s="242" t="str">
        <f>'CM.TOT'!C106</f>
        <v xml:space="preserve">annuo </v>
      </c>
      <c r="D155" s="251" t="str">
        <f>ANALYSIS!D117</f>
        <v/>
      </c>
      <c r="E155" s="222"/>
    </row>
    <row r="156" spans="1:5" ht="13" customHeight="1" x14ac:dyDescent="0.35">
      <c r="A156" s="229" t="str">
        <f>'CM.TOT'!A60</f>
        <v>Base (LAMAL) - Basis (KVG)</v>
      </c>
      <c r="B156" s="249">
        <v>1</v>
      </c>
      <c r="C156" s="238"/>
      <c r="D156" s="251">
        <v>1</v>
      </c>
      <c r="E156" s="227"/>
    </row>
    <row r="157" spans="1:5" ht="13" customHeight="1" x14ac:dyDescent="0.35">
      <c r="A157" s="231" t="str">
        <f>ANALYSIS!A122</f>
        <v xml:space="preserve">Libera scelta medici e ospedali </v>
      </c>
      <c r="B157" s="249">
        <f>ANALYSIS!D122</f>
        <v>0</v>
      </c>
      <c r="C157" s="238" t="str">
        <f>'Sigle per Analisi'!B91</f>
        <v>100% CH + MONDO</v>
      </c>
      <c r="D157" s="251">
        <f>ANALYSIS!I122</f>
        <v>1</v>
      </c>
      <c r="E157" s="227"/>
    </row>
    <row r="158" spans="1:5" ht="13" customHeight="1" x14ac:dyDescent="0.35">
      <c r="A158" s="231" t="str">
        <f>ANALYSIS!A123</f>
        <v>Privata/semiprivata</v>
      </c>
      <c r="B158" s="249">
        <f>ANALYSIS!D123</f>
        <v>0</v>
      </c>
      <c r="C158" s="238" t="str">
        <f>A158</f>
        <v>Privata/semiprivata</v>
      </c>
      <c r="D158" s="251">
        <f>ANALYSIS!I123</f>
        <v>1</v>
      </c>
      <c r="E158" s="227"/>
    </row>
    <row r="159" spans="1:5" ht="13" customHeight="1" x14ac:dyDescent="0.35">
      <c r="A159" s="231" t="str">
        <f>ANALYSIS!A124</f>
        <v xml:space="preserve">Dentistista </v>
      </c>
      <c r="B159" s="249">
        <f>ANALYSIS!D124</f>
        <v>0</v>
      </c>
      <c r="C159" s="238" t="str">
        <f>IF(ANALYSIS!D118=3,'Sigle per Analisi'!B80,IF(ANALYSIS!D118=0,"",'Sigle per Analisi'!B79))</f>
        <v>50% max CHF 2000.--</v>
      </c>
      <c r="D159" s="251">
        <f>ANALYSIS!I124</f>
        <v>1</v>
      </c>
      <c r="E159" s="227"/>
    </row>
    <row r="160" spans="1:5" ht="13" customHeight="1" x14ac:dyDescent="0.35">
      <c r="A160" s="231" t="str">
        <f>ANALYSIS!A125</f>
        <v>Fitness</v>
      </c>
      <c r="B160" s="249">
        <f>ANALYSIS!D125</f>
        <v>0</v>
      </c>
      <c r="C160" s="238" t="str">
        <f>'Sigle per Analisi'!B89</f>
        <v>CHf 200.-- / a.-J.</v>
      </c>
      <c r="D160" s="251">
        <f>ANALYSIS!I125</f>
        <v>1</v>
      </c>
      <c r="E160" s="227"/>
    </row>
    <row r="161" spans="1:5" ht="13" customHeight="1" x14ac:dyDescent="0.35">
      <c r="A161" s="231" t="str">
        <f>ANALYSIS!A126</f>
        <v xml:space="preserve">Occhiali e Lenti a contatto </v>
      </c>
      <c r="B161" s="249">
        <f>ANALYSIS!D126</f>
        <v>0</v>
      </c>
      <c r="C161" s="238" t="str">
        <f>'Sigle per Analisi'!B90</f>
        <v>CHf 200.-- / 3 anno</v>
      </c>
      <c r="D161" s="251">
        <f>ANALYSIS!I126</f>
        <v>1</v>
      </c>
      <c r="E161" s="227"/>
    </row>
    <row r="162" spans="1:5" ht="13" customHeight="1" x14ac:dyDescent="0.35">
      <c r="A162" s="231" t="str">
        <f>ANALYSIS!A127</f>
        <v xml:space="preserve">Assistenza domiciliare </v>
      </c>
      <c r="B162" s="249">
        <f>ANALYSIS!D127</f>
        <v>0</v>
      </c>
      <c r="C162" s="238" t="str">
        <f>'Sigle per Analisi'!B81</f>
        <v>50% max CHF 1500.--</v>
      </c>
      <c r="D162" s="251">
        <f>ANALYSIS!I127</f>
        <v>1</v>
      </c>
      <c r="E162" s="227"/>
    </row>
    <row r="163" spans="1:5" ht="13" customHeight="1" x14ac:dyDescent="0.35">
      <c r="A163" s="231" t="str">
        <f>ANALYSIS!A128</f>
        <v>Chec-kup</v>
      </c>
      <c r="B163" s="249">
        <f>ANALYSIS!D128</f>
        <v>0</v>
      </c>
      <c r="C163" s="239" t="str">
        <f>'Sigle per Analisi'!B83</f>
        <v>90% / 3 anno</v>
      </c>
      <c r="D163" s="251">
        <f>ANALYSIS!I128</f>
        <v>1</v>
      </c>
      <c r="E163" s="227"/>
    </row>
    <row r="164" spans="1:5" ht="13" customHeight="1" x14ac:dyDescent="0.35">
      <c r="A164" s="231" t="str">
        <f>ANALYSIS!A129</f>
        <v xml:space="preserve">Prevenzione ginecologica </v>
      </c>
      <c r="B164" s="249">
        <f>ANALYSIS!D129</f>
        <v>0</v>
      </c>
      <c r="C164" s="239" t="str">
        <f>'Sigle per Analisi'!B84</f>
        <v>90% Illimitato</v>
      </c>
      <c r="D164" s="251">
        <f>ANALYSIS!I129</f>
        <v>1</v>
      </c>
      <c r="E164" s="227"/>
    </row>
    <row r="165" spans="1:5" ht="13" customHeight="1" x14ac:dyDescent="0.35">
      <c r="A165" s="231" t="str">
        <f>ANALYSIS!A130</f>
        <v xml:space="preserve">Trasporto e salvataggio </v>
      </c>
      <c r="B165" s="249">
        <f>ANALYSIS!D130</f>
        <v>0</v>
      </c>
      <c r="C165" s="240" t="str">
        <f>'Sigle per Analisi'!B82</f>
        <v>50% max 30 g./anno</v>
      </c>
      <c r="D165" s="251">
        <f>ANALYSIS!I130</f>
        <v>1</v>
      </c>
      <c r="E165" s="227"/>
    </row>
    <row r="166" spans="1:5" ht="13" customHeight="1" x14ac:dyDescent="0.35">
      <c r="A166" s="231" t="str">
        <f>ANALYSIS!A131</f>
        <v xml:space="preserve">Medicina alternativa </v>
      </c>
      <c r="B166" s="249">
        <f>ANALYSIS!D131</f>
        <v>0</v>
      </c>
      <c r="C166" s="241" t="str">
        <f>'Sigle per Analisi'!B86</f>
        <v>60% illimitato</v>
      </c>
      <c r="D166" s="251">
        <f>ANALYSIS!I131</f>
        <v>1</v>
      </c>
      <c r="E166" s="227"/>
    </row>
    <row r="167" spans="1:5" ht="13" customHeight="1" x14ac:dyDescent="0.35">
      <c r="A167" s="231" t="str">
        <f>ANALYSIS!A132</f>
        <v xml:space="preserve">Medicianli fuorilista </v>
      </c>
      <c r="B167" s="249">
        <f>ANALYSIS!D132</f>
        <v>0</v>
      </c>
      <c r="C167" s="241" t="str">
        <f>'Sigle per Analisi'!B87</f>
        <v>90% illimitato</v>
      </c>
      <c r="D167" s="251">
        <f>ANALYSIS!I132</f>
        <v>1</v>
      </c>
      <c r="E167" s="227"/>
    </row>
    <row r="168" spans="1:5" ht="13" customHeight="1" thickBot="1" x14ac:dyDescent="0.4">
      <c r="A168" s="231" t="str">
        <f>ANALYSIS!A133</f>
        <v xml:space="preserve">Altro </v>
      </c>
      <c r="B168" s="250">
        <f>ANALYSIS!D133</f>
        <v>0</v>
      </c>
      <c r="C168" s="232"/>
      <c r="D168" s="254">
        <f>ANALYSIS!I133</f>
        <v>1</v>
      </c>
      <c r="E168" s="227"/>
    </row>
    <row r="169" spans="1:5" ht="13" customHeight="1" x14ac:dyDescent="0.35">
      <c r="A169" s="3"/>
      <c r="B169" s="3"/>
      <c r="C169" s="3"/>
      <c r="D169" s="3"/>
      <c r="E169" s="3"/>
    </row>
    <row r="170" spans="1:5" ht="13" customHeight="1" x14ac:dyDescent="0.45">
      <c r="A170" s="457" t="str">
        <f>Traduzioni!$G$258</f>
        <v xml:space="preserve">COPERTURE ATTUALI </v>
      </c>
      <c r="B170" s="455"/>
      <c r="D170" s="456" t="str">
        <f>Traduzioni!$G$259</f>
        <v>SOLUZIONE PROPOSTA</v>
      </c>
    </row>
    <row r="171" spans="1:5" ht="13" customHeight="1" x14ac:dyDescent="0.35">
      <c r="A171" s="5"/>
    </row>
    <row r="172" spans="1:5" x14ac:dyDescent="0.35">
      <c r="A172" s="5"/>
    </row>
    <row r="173" spans="1:5" x14ac:dyDescent="0.35">
      <c r="A173" s="5"/>
    </row>
    <row r="174" spans="1:5" x14ac:dyDescent="0.35">
      <c r="A174" s="5"/>
    </row>
    <row r="175" spans="1:5" x14ac:dyDescent="0.35">
      <c r="A175" s="5"/>
    </row>
    <row r="176" spans="1:5"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5" x14ac:dyDescent="0.35">
      <c r="A193" s="2"/>
      <c r="B193" s="2"/>
      <c r="C193" s="2"/>
      <c r="D193" s="2"/>
      <c r="E193" s="2"/>
    </row>
    <row r="194" spans="1:5" x14ac:dyDescent="0.35">
      <c r="A194" s="2"/>
      <c r="B194" s="2"/>
      <c r="C194" s="2"/>
      <c r="D194" s="2"/>
      <c r="E194" s="2"/>
    </row>
    <row r="195" spans="1:5" ht="16" thickBot="1" x14ac:dyDescent="0.4">
      <c r="A195" s="2"/>
      <c r="B195" s="2"/>
      <c r="C195" s="2"/>
      <c r="D195" s="2"/>
      <c r="E195" s="2"/>
    </row>
    <row r="196" spans="1:5" x14ac:dyDescent="0.35">
      <c r="A196" s="372"/>
      <c r="B196" s="1444" t="str">
        <f>Traduzioni!$G$98&amp;" "&amp;ANALYSIS!$B$32</f>
        <v xml:space="preserve">ASSICURAZIONE SANITARIA    </v>
      </c>
      <c r="C196" s="1444"/>
      <c r="D196" s="1445"/>
    </row>
    <row r="197" spans="1:5" x14ac:dyDescent="0.35">
      <c r="A197" s="373"/>
      <c r="B197" s="1446" t="str">
        <f>Traduzioni!G368&amp;" "&amp;ANALYSIS!$B$3&amp;" - "&amp;'RENDITE CLIENTE'!$B$2</f>
        <v>Valutazione effettuata da:  - NeoLife AG</v>
      </c>
      <c r="C197" s="1446"/>
      <c r="D197" s="1447"/>
    </row>
    <row r="198" spans="1:5" x14ac:dyDescent="0.35">
      <c r="A198" s="373"/>
      <c r="B198" s="1448" t="str">
        <f>Traduzioni!G369&amp;" "&amp;Traduzioni!G229</f>
        <v>Parametri di calcolo: Premi Assicurazioni sanitarie</v>
      </c>
      <c r="C198" s="1448"/>
      <c r="D198" s="1449"/>
    </row>
    <row r="199" spans="1:5" ht="16" thickBot="1" x14ac:dyDescent="0.4">
      <c r="A199" s="374"/>
      <c r="B199" s="1450" t="str">
        <f>Traduzioni!G370</f>
        <v>Calcolo del:</v>
      </c>
      <c r="C199" s="1451"/>
      <c r="D199" s="454">
        <f ca="1">NOW()</f>
        <v>45680.292758333337</v>
      </c>
    </row>
    <row r="200" spans="1:5" ht="16" thickBot="1" x14ac:dyDescent="0.4">
      <c r="A200" s="222"/>
      <c r="B200" s="222"/>
      <c r="C200" s="222"/>
      <c r="D200" s="222"/>
      <c r="E200" s="222"/>
    </row>
    <row r="201" spans="1:5" x14ac:dyDescent="0.35">
      <c r="A201" s="222"/>
      <c r="B201" s="243" t="str">
        <f>'CM.TOT'!B152</f>
        <v xml:space="preserve">COPERTURE ATTUALI </v>
      </c>
      <c r="C201" s="224"/>
      <c r="D201" s="1442" t="str">
        <f>Traduzioni!G220</f>
        <v>SOLUZIONE PROPOSTA</v>
      </c>
      <c r="E201" s="222"/>
    </row>
    <row r="202" spans="1:5" ht="18.5" x14ac:dyDescent="0.35">
      <c r="A202" s="229" t="str">
        <f>'CM.TOT'!A153</f>
        <v>Cliente</v>
      </c>
      <c r="B202" s="481">
        <f>ANALYSIS!B32</f>
        <v>0</v>
      </c>
      <c r="C202" s="236" t="str">
        <f>'CM.TOT'!C153</f>
        <v>Differenza / Anno</v>
      </c>
      <c r="D202" s="1443"/>
      <c r="E202" s="222"/>
    </row>
    <row r="203" spans="1:5" ht="13" customHeight="1" x14ac:dyDescent="0.35">
      <c r="A203" s="229" t="str">
        <f>'CM.TOT'!A154</f>
        <v>Tot. LAMAL + LCA - KVG + VVG</v>
      </c>
      <c r="B203" s="249">
        <f>ANALYSIS!E113</f>
        <v>0</v>
      </c>
      <c r="C203" s="237">
        <f>(B203-D203)*12</f>
        <v>0</v>
      </c>
      <c r="D203" s="251">
        <f>ANALYSIS!D140</f>
        <v>0</v>
      </c>
      <c r="E203" s="222"/>
    </row>
    <row r="204" spans="1:5" ht="13" customHeight="1" x14ac:dyDescent="0.35">
      <c r="A204" s="229" t="str">
        <f>'CM.TOT'!A155</f>
        <v>Franchigia LAMAL - KVG</v>
      </c>
      <c r="B204" s="249">
        <f>ANALYSIS!E114</f>
        <v>0</v>
      </c>
      <c r="C204" s="242" t="str">
        <f>'CM.TOT'!C155</f>
        <v xml:space="preserve">annuo </v>
      </c>
      <c r="D204" s="251" t="str">
        <f>ANALYSIS!E117</f>
        <v/>
      </c>
      <c r="E204" s="222"/>
    </row>
    <row r="205" spans="1:5" ht="13" customHeight="1" x14ac:dyDescent="0.35">
      <c r="A205" s="229" t="str">
        <f>'CM.TOT'!A156</f>
        <v>Base (LAMAL) - Basis (KVG)</v>
      </c>
      <c r="B205" s="249">
        <v>1</v>
      </c>
      <c r="C205" s="238"/>
      <c r="D205" s="251">
        <v>1</v>
      </c>
      <c r="E205" s="227"/>
    </row>
    <row r="206" spans="1:5" ht="13" customHeight="1" x14ac:dyDescent="0.35">
      <c r="A206" s="231" t="str">
        <f>ANALYSIS!A122</f>
        <v xml:space="preserve">Libera scelta medici e ospedali </v>
      </c>
      <c r="B206" s="249">
        <f>ANALYSIS!E122</f>
        <v>0</v>
      </c>
      <c r="C206" s="238" t="str">
        <f>'Sigle per Analisi'!B91</f>
        <v>100% CH + MONDO</v>
      </c>
      <c r="D206" s="251">
        <f>ANALYSIS!I122</f>
        <v>1</v>
      </c>
      <c r="E206" s="227"/>
    </row>
    <row r="207" spans="1:5" ht="13" customHeight="1" x14ac:dyDescent="0.35">
      <c r="A207" s="231" t="str">
        <f>ANALYSIS!A123</f>
        <v>Privata/semiprivata</v>
      </c>
      <c r="B207" s="249">
        <f>ANALYSIS!E123</f>
        <v>0</v>
      </c>
      <c r="C207" s="238" t="str">
        <f>A207</f>
        <v>Privata/semiprivata</v>
      </c>
      <c r="D207" s="251">
        <f>ANALYSIS!I123</f>
        <v>1</v>
      </c>
      <c r="E207" s="227"/>
    </row>
    <row r="208" spans="1:5" ht="13" customHeight="1" x14ac:dyDescent="0.35">
      <c r="A208" s="231" t="str">
        <f>ANALYSIS!A124</f>
        <v xml:space="preserve">Dentistista </v>
      </c>
      <c r="B208" s="249">
        <f>ANALYSIS!E124</f>
        <v>0</v>
      </c>
      <c r="C208" s="238" t="str">
        <f>IF(ANALYSIS!E118=3,'Sigle per Analisi'!B80,IF(ANALYSIS!E118=0,"",'Sigle per Analisi'!B79))</f>
        <v>50% max CHF 2000.--</v>
      </c>
      <c r="D208" s="251">
        <f>ANALYSIS!I124</f>
        <v>1</v>
      </c>
      <c r="E208" s="227"/>
    </row>
    <row r="209" spans="1:5" ht="13" customHeight="1" x14ac:dyDescent="0.35">
      <c r="A209" s="231" t="str">
        <f>ANALYSIS!A125</f>
        <v>Fitness</v>
      </c>
      <c r="B209" s="249">
        <f>ANALYSIS!E125</f>
        <v>0</v>
      </c>
      <c r="C209" s="238" t="str">
        <f>'Sigle per Analisi'!B89</f>
        <v>CHf 200.-- / a.-J.</v>
      </c>
      <c r="D209" s="251">
        <f>ANALYSIS!I125</f>
        <v>1</v>
      </c>
      <c r="E209" s="227"/>
    </row>
    <row r="210" spans="1:5" ht="13" customHeight="1" x14ac:dyDescent="0.35">
      <c r="A210" s="231" t="str">
        <f>ANALYSIS!A126</f>
        <v xml:space="preserve">Occhiali e Lenti a contatto </v>
      </c>
      <c r="B210" s="249">
        <f>ANALYSIS!E126</f>
        <v>0</v>
      </c>
      <c r="C210" s="238" t="str">
        <f>'Sigle per Analisi'!B90</f>
        <v>CHf 200.-- / 3 anno</v>
      </c>
      <c r="D210" s="251">
        <f>ANALYSIS!I126</f>
        <v>1</v>
      </c>
      <c r="E210" s="227"/>
    </row>
    <row r="211" spans="1:5" ht="13" customHeight="1" x14ac:dyDescent="0.35">
      <c r="A211" s="231" t="str">
        <f>ANALYSIS!A127</f>
        <v xml:space="preserve">Assistenza domiciliare </v>
      </c>
      <c r="B211" s="249">
        <f>ANALYSIS!E127</f>
        <v>0</v>
      </c>
      <c r="C211" s="238" t="str">
        <f>'Sigle per Analisi'!B81</f>
        <v>50% max CHF 1500.--</v>
      </c>
      <c r="D211" s="251">
        <f>ANALYSIS!I127</f>
        <v>1</v>
      </c>
      <c r="E211" s="227"/>
    </row>
    <row r="212" spans="1:5" ht="13" customHeight="1" x14ac:dyDescent="0.35">
      <c r="A212" s="231" t="str">
        <f>ANALYSIS!A128</f>
        <v>Chec-kup</v>
      </c>
      <c r="B212" s="249">
        <f>ANALYSIS!E128</f>
        <v>0</v>
      </c>
      <c r="C212" s="239" t="str">
        <f>'Sigle per Analisi'!B83</f>
        <v>90% / 3 anno</v>
      </c>
      <c r="D212" s="251">
        <f>ANALYSIS!I128</f>
        <v>1</v>
      </c>
      <c r="E212" s="227"/>
    </row>
    <row r="213" spans="1:5" ht="13" customHeight="1" x14ac:dyDescent="0.35">
      <c r="A213" s="231" t="str">
        <f>ANALYSIS!A129</f>
        <v xml:space="preserve">Prevenzione ginecologica </v>
      </c>
      <c r="B213" s="249">
        <f>ANALYSIS!E129</f>
        <v>0</v>
      </c>
      <c r="C213" s="239" t="str">
        <f>'Sigle per Analisi'!B84</f>
        <v>90% Illimitato</v>
      </c>
      <c r="D213" s="251">
        <f>ANALYSIS!I129</f>
        <v>1</v>
      </c>
      <c r="E213" s="227"/>
    </row>
    <row r="214" spans="1:5" ht="13" customHeight="1" x14ac:dyDescent="0.35">
      <c r="A214" s="231" t="str">
        <f>ANALYSIS!A130</f>
        <v xml:space="preserve">Trasporto e salvataggio </v>
      </c>
      <c r="B214" s="249">
        <f>ANALYSIS!E130</f>
        <v>0</v>
      </c>
      <c r="C214" s="240" t="str">
        <f>'Sigle per Analisi'!B82</f>
        <v>50% max 30 g./anno</v>
      </c>
      <c r="D214" s="251">
        <f>ANALYSIS!I130</f>
        <v>1</v>
      </c>
      <c r="E214" s="227"/>
    </row>
    <row r="215" spans="1:5" ht="13" customHeight="1" x14ac:dyDescent="0.35">
      <c r="A215" s="231" t="str">
        <f>ANALYSIS!A131</f>
        <v xml:space="preserve">Medicina alternativa </v>
      </c>
      <c r="B215" s="249">
        <f>ANALYSIS!E131</f>
        <v>0</v>
      </c>
      <c r="C215" s="241" t="str">
        <f>'Sigle per Analisi'!B86</f>
        <v>60% illimitato</v>
      </c>
      <c r="D215" s="251">
        <f>ANALYSIS!I131</f>
        <v>1</v>
      </c>
      <c r="E215" s="227"/>
    </row>
    <row r="216" spans="1:5" ht="13" customHeight="1" x14ac:dyDescent="0.35">
      <c r="A216" s="231" t="str">
        <f>ANALYSIS!A132</f>
        <v xml:space="preserve">Medicianli fuorilista </v>
      </c>
      <c r="B216" s="249">
        <f>ANALYSIS!E132</f>
        <v>0</v>
      </c>
      <c r="C216" s="241" t="str">
        <f>'Sigle per Analisi'!B87</f>
        <v>90% illimitato</v>
      </c>
      <c r="D216" s="251">
        <f>ANALYSIS!I132</f>
        <v>1</v>
      </c>
      <c r="E216" s="227"/>
    </row>
    <row r="217" spans="1:5" ht="13" customHeight="1" thickBot="1" x14ac:dyDescent="0.4">
      <c r="A217" s="231" t="str">
        <f>ANALYSIS!A133</f>
        <v xml:space="preserve">Altro </v>
      </c>
      <c r="B217" s="250">
        <f>ANALYSIS!E133</f>
        <v>0</v>
      </c>
      <c r="C217" s="232"/>
      <c r="D217" s="254">
        <f>ANALYSIS!I133</f>
        <v>1</v>
      </c>
      <c r="E217" s="227"/>
    </row>
    <row r="218" spans="1:5" ht="13" customHeight="1" x14ac:dyDescent="0.35">
      <c r="A218" s="3"/>
      <c r="B218" s="3"/>
      <c r="C218" s="3"/>
      <c r="D218" s="3"/>
      <c r="E218" s="3"/>
    </row>
    <row r="219" spans="1:5" ht="13" customHeight="1" x14ac:dyDescent="0.45">
      <c r="A219" s="457" t="str">
        <f>Traduzioni!$G$258</f>
        <v xml:space="preserve">COPERTURE ATTUALI </v>
      </c>
      <c r="B219" s="455"/>
      <c r="D219" s="456" t="str">
        <f>Traduzioni!$G$259</f>
        <v>SOLUZIONE PROPOSTA</v>
      </c>
    </row>
    <row r="220" spans="1:5" ht="13" customHeight="1" x14ac:dyDescent="0.35">
      <c r="A220" s="5"/>
    </row>
    <row r="221" spans="1:5" x14ac:dyDescent="0.35">
      <c r="A221" s="5"/>
    </row>
    <row r="222" spans="1:5" x14ac:dyDescent="0.35">
      <c r="A222" s="5"/>
    </row>
    <row r="223" spans="1:5" x14ac:dyDescent="0.35">
      <c r="A223" s="5"/>
    </row>
    <row r="224" spans="1:5"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5" x14ac:dyDescent="0.35">
      <c r="A241" s="5"/>
    </row>
    <row r="242" spans="1:5" x14ac:dyDescent="0.35">
      <c r="A242" s="2"/>
      <c r="B242" s="2"/>
      <c r="C242" s="2"/>
      <c r="D242" s="2"/>
      <c r="E242" s="2"/>
    </row>
    <row r="243" spans="1:5" x14ac:dyDescent="0.35">
      <c r="A243" s="2"/>
      <c r="B243" s="2"/>
      <c r="C243" s="2"/>
      <c r="D243" s="2"/>
      <c r="E243" s="2"/>
    </row>
    <row r="244" spans="1:5" ht="16" thickBot="1" x14ac:dyDescent="0.4">
      <c r="A244" s="2"/>
      <c r="B244" s="2"/>
      <c r="C244" s="2"/>
      <c r="D244" s="2"/>
      <c r="E244" s="2"/>
    </row>
    <row r="245" spans="1:5" x14ac:dyDescent="0.35">
      <c r="A245" s="372"/>
      <c r="B245" s="1444" t="str">
        <f>Traduzioni!$G$98&amp;" "&amp;ANALYSIS!$B$33</f>
        <v xml:space="preserve">ASSICURAZIONE SANITARIA    </v>
      </c>
      <c r="C245" s="1444"/>
      <c r="D245" s="1445"/>
    </row>
    <row r="246" spans="1:5" x14ac:dyDescent="0.35">
      <c r="A246" s="373"/>
      <c r="B246" s="1446" t="str">
        <f>Traduzioni!G368&amp;" "&amp;ANALYSIS!$B$3&amp;" - "&amp;'RENDITE CLIENTE'!$B$2</f>
        <v>Valutazione effettuata da:  - NeoLife AG</v>
      </c>
      <c r="C246" s="1446"/>
      <c r="D246" s="1447"/>
    </row>
    <row r="247" spans="1:5" x14ac:dyDescent="0.35">
      <c r="A247" s="373"/>
      <c r="B247" s="1448" t="str">
        <f>Traduzioni!G369&amp;" "&amp;Traduzioni!G229</f>
        <v>Parametri di calcolo: Premi Assicurazioni sanitarie</v>
      </c>
      <c r="C247" s="1448"/>
      <c r="D247" s="1449"/>
    </row>
    <row r="248" spans="1:5" ht="16" thickBot="1" x14ac:dyDescent="0.4">
      <c r="A248" s="374"/>
      <c r="B248" s="1450" t="str">
        <f>Traduzioni!G370</f>
        <v>Calcolo del:</v>
      </c>
      <c r="C248" s="1451"/>
      <c r="D248" s="454">
        <f ca="1">NOW()</f>
        <v>45680.292758333337</v>
      </c>
    </row>
    <row r="249" spans="1:5" ht="16" thickBot="1" x14ac:dyDescent="0.4">
      <c r="A249" s="222"/>
      <c r="B249" s="222"/>
      <c r="C249" s="222"/>
      <c r="D249" s="222"/>
      <c r="E249" s="222"/>
    </row>
    <row r="250" spans="1:5" x14ac:dyDescent="0.35">
      <c r="A250" s="222"/>
      <c r="B250" s="223" t="str">
        <f>'CM.TOT'!B201</f>
        <v xml:space="preserve">COPERTURE ATTUALI </v>
      </c>
      <c r="C250" s="224"/>
      <c r="D250" s="1442" t="str">
        <f>Traduzioni!G220</f>
        <v>SOLUZIONE PROPOSTA</v>
      </c>
      <c r="E250" s="222"/>
    </row>
    <row r="251" spans="1:5" ht="18.5" x14ac:dyDescent="0.35">
      <c r="A251" s="229" t="str">
        <f>'CM.TOT'!A202</f>
        <v>Cliente</v>
      </c>
      <c r="B251" s="482">
        <f>ANALYSIS!B33</f>
        <v>0</v>
      </c>
      <c r="C251" s="236" t="str">
        <f>'CM.TOT'!C57</f>
        <v>Differenza / Anno</v>
      </c>
      <c r="D251" s="1443"/>
      <c r="E251" s="222"/>
    </row>
    <row r="252" spans="1:5" ht="13" customHeight="1" x14ac:dyDescent="0.35">
      <c r="A252" s="229" t="str">
        <f>'CM.TOT'!A203</f>
        <v>Tot. LAMAL + LCA - KVG + VVG</v>
      </c>
      <c r="B252" s="245">
        <f>ANALYSIS!F113</f>
        <v>0</v>
      </c>
      <c r="C252" s="237">
        <f>(B252-D252)*12</f>
        <v>0</v>
      </c>
      <c r="D252" s="251">
        <f>ANALYSIS!D141</f>
        <v>0</v>
      </c>
      <c r="E252" s="222"/>
    </row>
    <row r="253" spans="1:5" ht="13" customHeight="1" x14ac:dyDescent="0.35">
      <c r="A253" s="229" t="str">
        <f>'CM.TOT'!A204</f>
        <v>Franchigia LAMAL - KVG</v>
      </c>
      <c r="B253" s="245">
        <f>ANALYSIS!F114</f>
        <v>0</v>
      </c>
      <c r="C253" s="242" t="str">
        <f>'CM.TOT'!C59</f>
        <v xml:space="preserve">annuo </v>
      </c>
      <c r="D253" s="251" t="str">
        <f>ANALYSIS!F117</f>
        <v/>
      </c>
      <c r="E253" s="222"/>
    </row>
    <row r="254" spans="1:5" ht="13" customHeight="1" x14ac:dyDescent="0.35">
      <c r="A254" s="229" t="str">
        <f>'CM.TOT'!A205</f>
        <v>Base (LAMAL) - Basis (KVG)</v>
      </c>
      <c r="B254" s="245">
        <v>1</v>
      </c>
      <c r="C254" s="242"/>
      <c r="D254" s="251">
        <v>1</v>
      </c>
      <c r="E254" s="227"/>
    </row>
    <row r="255" spans="1:5" ht="13" customHeight="1" x14ac:dyDescent="0.35">
      <c r="A255" s="231" t="str">
        <f>ANALYSIS!A122</f>
        <v xml:space="preserve">Libera scelta medici e ospedali </v>
      </c>
      <c r="B255" s="247">
        <f>ANALYSIS!F122</f>
        <v>0</v>
      </c>
      <c r="C255" s="238" t="str">
        <f>'Sigle per Analisi'!B91</f>
        <v>100% CH + MONDO</v>
      </c>
      <c r="D255" s="252">
        <f>ANALYSIS!I122</f>
        <v>1</v>
      </c>
      <c r="E255" s="228"/>
    </row>
    <row r="256" spans="1:5" ht="13" customHeight="1" x14ac:dyDescent="0.35">
      <c r="A256" s="231" t="str">
        <f>ANALYSIS!A123</f>
        <v>Privata/semiprivata</v>
      </c>
      <c r="B256" s="247">
        <f>ANALYSIS!F123</f>
        <v>0</v>
      </c>
      <c r="C256" s="238" t="str">
        <f>A256</f>
        <v>Privata/semiprivata</v>
      </c>
      <c r="D256" s="252">
        <f>ANALYSIS!I123</f>
        <v>1</v>
      </c>
      <c r="E256" s="228"/>
    </row>
    <row r="257" spans="1:5" ht="13" customHeight="1" x14ac:dyDescent="0.35">
      <c r="A257" s="231" t="str">
        <f>ANALYSIS!A124</f>
        <v xml:space="preserve">Dentistista </v>
      </c>
      <c r="B257" s="247">
        <f>ANALYSIS!F124</f>
        <v>0</v>
      </c>
      <c r="C257" s="238" t="str">
        <f>IF(ANALYSIS!F118=3,'Sigle per Analisi'!B80,IF(ANALYSIS!F118=0,"",'Sigle per Analisi'!B79))</f>
        <v>50% max CHF 2000.--</v>
      </c>
      <c r="D257" s="252">
        <f>ANALYSIS!I124</f>
        <v>1</v>
      </c>
      <c r="E257" s="228"/>
    </row>
    <row r="258" spans="1:5" ht="13" customHeight="1" x14ac:dyDescent="0.35">
      <c r="A258" s="231" t="str">
        <f>ANALYSIS!A125</f>
        <v>Fitness</v>
      </c>
      <c r="B258" s="247">
        <f>ANALYSIS!F125</f>
        <v>0</v>
      </c>
      <c r="C258" s="238" t="str">
        <f>'Sigle per Analisi'!B89</f>
        <v>CHf 200.-- / a.-J.</v>
      </c>
      <c r="D258" s="252">
        <f>ANALYSIS!I125</f>
        <v>1</v>
      </c>
      <c r="E258" s="228"/>
    </row>
    <row r="259" spans="1:5" ht="13" customHeight="1" x14ac:dyDescent="0.35">
      <c r="A259" s="231" t="str">
        <f>ANALYSIS!A126</f>
        <v xml:space="preserve">Occhiali e Lenti a contatto </v>
      </c>
      <c r="B259" s="247">
        <f>ANALYSIS!F126</f>
        <v>0</v>
      </c>
      <c r="C259" s="238" t="str">
        <f>'Sigle per Analisi'!B90</f>
        <v>CHf 200.-- / 3 anno</v>
      </c>
      <c r="D259" s="252">
        <f>ANALYSIS!I126</f>
        <v>1</v>
      </c>
      <c r="E259" s="228"/>
    </row>
    <row r="260" spans="1:5" ht="13" customHeight="1" x14ac:dyDescent="0.35">
      <c r="A260" s="231" t="str">
        <f>ANALYSIS!A127</f>
        <v xml:space="preserve">Assistenza domiciliare </v>
      </c>
      <c r="B260" s="247">
        <f>ANALYSIS!F127</f>
        <v>0</v>
      </c>
      <c r="C260" s="238" t="str">
        <f>'Sigle per Analisi'!B81</f>
        <v>50% max CHF 1500.--</v>
      </c>
      <c r="D260" s="252">
        <f>ANALYSIS!I127</f>
        <v>1</v>
      </c>
      <c r="E260" s="228"/>
    </row>
    <row r="261" spans="1:5" ht="13" customHeight="1" x14ac:dyDescent="0.35">
      <c r="A261" s="231" t="str">
        <f>ANALYSIS!A128</f>
        <v>Chec-kup</v>
      </c>
      <c r="B261" s="247">
        <f>ANALYSIS!F128</f>
        <v>0</v>
      </c>
      <c r="C261" s="239" t="str">
        <f>'Sigle per Analisi'!B83</f>
        <v>90% / 3 anno</v>
      </c>
      <c r="D261" s="252">
        <f>ANALYSIS!I128</f>
        <v>1</v>
      </c>
      <c r="E261" s="228"/>
    </row>
    <row r="262" spans="1:5" ht="13" customHeight="1" x14ac:dyDescent="0.35">
      <c r="A262" s="231" t="str">
        <f>ANALYSIS!A129</f>
        <v xml:space="preserve">Prevenzione ginecologica </v>
      </c>
      <c r="B262" s="247">
        <f>ANALYSIS!F129</f>
        <v>0</v>
      </c>
      <c r="C262" s="239" t="str">
        <f>'Sigle per Analisi'!B84</f>
        <v>90% Illimitato</v>
      </c>
      <c r="D262" s="252">
        <f>ANALYSIS!I129</f>
        <v>1</v>
      </c>
      <c r="E262" s="228"/>
    </row>
    <row r="263" spans="1:5" ht="13" customHeight="1" x14ac:dyDescent="0.35">
      <c r="A263" s="231" t="str">
        <f>ANALYSIS!A130</f>
        <v xml:space="preserve">Trasporto e salvataggio </v>
      </c>
      <c r="B263" s="247">
        <f>ANALYSIS!F130</f>
        <v>0</v>
      </c>
      <c r="C263" s="240" t="str">
        <f>'Sigle per Analisi'!B82</f>
        <v>50% max 30 g./anno</v>
      </c>
      <c r="D263" s="252">
        <f>ANALYSIS!I130</f>
        <v>1</v>
      </c>
      <c r="E263" s="228"/>
    </row>
    <row r="264" spans="1:5" ht="13" customHeight="1" x14ac:dyDescent="0.35">
      <c r="A264" s="231" t="str">
        <f>ANALYSIS!A131</f>
        <v xml:space="preserve">Medicina alternativa </v>
      </c>
      <c r="B264" s="247">
        <f>ANALYSIS!F131</f>
        <v>0</v>
      </c>
      <c r="C264" s="241" t="str">
        <f>'Sigle per Analisi'!B86</f>
        <v>60% illimitato</v>
      </c>
      <c r="D264" s="252">
        <f>ANALYSIS!I131</f>
        <v>1</v>
      </c>
      <c r="E264" s="228"/>
    </row>
    <row r="265" spans="1:5" ht="13" customHeight="1" x14ac:dyDescent="0.35">
      <c r="A265" s="231" t="str">
        <f>ANALYSIS!A132</f>
        <v xml:space="preserve">Medicianli fuorilista </v>
      </c>
      <c r="B265" s="247">
        <f>ANALYSIS!F132</f>
        <v>0</v>
      </c>
      <c r="C265" s="241" t="str">
        <f>'Sigle per Analisi'!B87</f>
        <v>90% illimitato</v>
      </c>
      <c r="D265" s="252">
        <f>ANALYSIS!I132</f>
        <v>1</v>
      </c>
      <c r="E265" s="228"/>
    </row>
    <row r="266" spans="1:5" ht="13" customHeight="1" thickBot="1" x14ac:dyDescent="0.4">
      <c r="A266" s="231" t="str">
        <f>ANALYSIS!A133</f>
        <v xml:space="preserve">Altro </v>
      </c>
      <c r="B266" s="248">
        <f>ANALYSIS!F133</f>
        <v>0</v>
      </c>
      <c r="C266" s="232"/>
      <c r="D266" s="253">
        <f>ANALYSIS!I133</f>
        <v>1</v>
      </c>
      <c r="E266" s="228"/>
    </row>
    <row r="267" spans="1:5" ht="13" customHeight="1" x14ac:dyDescent="0.35">
      <c r="A267" s="3"/>
      <c r="B267" s="3"/>
      <c r="C267" s="3"/>
      <c r="D267" s="3"/>
      <c r="E267" s="3"/>
    </row>
    <row r="268" spans="1:5" ht="13" customHeight="1" x14ac:dyDescent="0.45">
      <c r="A268" s="457" t="str">
        <f>Traduzioni!$G$258</f>
        <v xml:space="preserve">COPERTURE ATTUALI </v>
      </c>
      <c r="B268" s="455"/>
      <c r="D268" s="456" t="str">
        <f>Traduzioni!$G$259</f>
        <v>SOLUZIONE PROPOSTA</v>
      </c>
    </row>
    <row r="269" spans="1:5" ht="13" customHeight="1" x14ac:dyDescent="0.35">
      <c r="A269" s="5"/>
    </row>
    <row r="270" spans="1:5" x14ac:dyDescent="0.35">
      <c r="A270" s="5"/>
    </row>
    <row r="271" spans="1:5" x14ac:dyDescent="0.35">
      <c r="A271" s="5"/>
    </row>
    <row r="272" spans="1:5"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5" x14ac:dyDescent="0.35">
      <c r="A289" s="5"/>
    </row>
    <row r="290" spans="1:5" x14ac:dyDescent="0.35">
      <c r="A290" s="5"/>
    </row>
    <row r="291" spans="1:5" x14ac:dyDescent="0.35">
      <c r="A291" s="2"/>
      <c r="B291" s="2"/>
      <c r="C291" s="2"/>
      <c r="D291" s="2"/>
      <c r="E291" s="2"/>
    </row>
    <row r="292" spans="1:5" x14ac:dyDescent="0.35">
      <c r="A292" s="2"/>
      <c r="B292" s="2"/>
      <c r="C292" s="2"/>
      <c r="D292" s="2"/>
      <c r="E292" s="2"/>
    </row>
    <row r="293" spans="1:5" x14ac:dyDescent="0.35">
      <c r="A293" s="2"/>
      <c r="B293" s="2"/>
      <c r="C293" s="2"/>
      <c r="D293" s="2"/>
      <c r="E293" s="2"/>
    </row>
    <row r="294" spans="1:5" x14ac:dyDescent="0.35">
      <c r="A294" s="2"/>
      <c r="B294" s="2"/>
      <c r="C294" s="2"/>
      <c r="D294" s="2"/>
      <c r="E294" s="2"/>
    </row>
    <row r="295" spans="1:5" x14ac:dyDescent="0.35">
      <c r="A295" s="2"/>
      <c r="B295" s="2"/>
      <c r="C295" s="2"/>
      <c r="D295" s="2"/>
      <c r="E295" s="2"/>
    </row>
    <row r="296" spans="1:5" x14ac:dyDescent="0.35">
      <c r="A296" s="2"/>
      <c r="B296" s="2"/>
      <c r="C296" s="2"/>
      <c r="D296" s="2"/>
      <c r="E296" s="2"/>
    </row>
    <row r="297" spans="1:5" x14ac:dyDescent="0.35">
      <c r="A297" s="2"/>
      <c r="B297" s="2"/>
      <c r="C297" s="2"/>
      <c r="D297" s="2"/>
      <c r="E297" s="2"/>
    </row>
  </sheetData>
  <sheetProtection sheet="1" objects="1" scenarios="1"/>
  <mergeCells count="30">
    <mergeCell ref="B1:D1"/>
    <mergeCell ref="B2:D2"/>
    <mergeCell ref="B3:D3"/>
    <mergeCell ref="B4:C4"/>
    <mergeCell ref="D6:D7"/>
    <mergeCell ref="D56:D57"/>
    <mergeCell ref="B51:D51"/>
    <mergeCell ref="B52:D52"/>
    <mergeCell ref="B53:D53"/>
    <mergeCell ref="B54:C54"/>
    <mergeCell ref="D103:D104"/>
    <mergeCell ref="B98:D98"/>
    <mergeCell ref="B99:D99"/>
    <mergeCell ref="B100:D100"/>
    <mergeCell ref="B101:C101"/>
    <mergeCell ref="D152:D153"/>
    <mergeCell ref="B147:D147"/>
    <mergeCell ref="B148:D148"/>
    <mergeCell ref="B149:D149"/>
    <mergeCell ref="B150:C150"/>
    <mergeCell ref="D201:D202"/>
    <mergeCell ref="B196:D196"/>
    <mergeCell ref="B197:D197"/>
    <mergeCell ref="B198:D198"/>
    <mergeCell ref="B199:C199"/>
    <mergeCell ref="D250:D251"/>
    <mergeCell ref="B245:D245"/>
    <mergeCell ref="B246:D246"/>
    <mergeCell ref="B247:D247"/>
    <mergeCell ref="B248:C248"/>
  </mergeCells>
  <pageMargins left="0.7" right="0.7" top="0.75" bottom="0.75" header="0.3" footer="0.3"/>
  <pageSetup paperSize="9" orientation="portrait" r:id="rId1"/>
  <rowBreaks count="5" manualBreakCount="5">
    <brk id="50" max="16383" man="1"/>
    <brk id="97" max="16383" man="1"/>
    <brk id="146" max="16383" man="1"/>
    <brk id="195" max="16383" man="1"/>
    <brk id="244"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EB972-CB9A-4AB6-A6B7-7CEA3C7D6188}">
  <dimension ref="A1:I38"/>
  <sheetViews>
    <sheetView showGridLines="0" showRowColHeaders="0" zoomScale="120" zoomScaleNormal="120" zoomScaleSheetLayoutView="100" workbookViewId="0">
      <selection activeCell="C1" sqref="C1:G1"/>
    </sheetView>
  </sheetViews>
  <sheetFormatPr defaultRowHeight="12.5" x14ac:dyDescent="0.25"/>
  <cols>
    <col min="1" max="1" width="24.7265625" customWidth="1"/>
    <col min="2" max="2" width="24.36328125" customWidth="1"/>
    <col min="3" max="7" width="14.6328125" customWidth="1"/>
    <col min="8" max="10" width="20.6328125" customWidth="1"/>
    <col min="11" max="13" width="12.6328125" customWidth="1"/>
  </cols>
  <sheetData>
    <row r="1" spans="1:9" ht="14" x14ac:dyDescent="0.25">
      <c r="A1" s="1293"/>
      <c r="B1" s="551" t="str">
        <f>Traduzioni!$G$486</f>
        <v>Calcolo per</v>
      </c>
      <c r="C1" s="1264" t="str">
        <f>Traduzioni!$G$125</f>
        <v xml:space="preserve">ASSICURAZIONI DI COSE E PATRIMONIALI                               </v>
      </c>
      <c r="D1" s="1264"/>
      <c r="E1" s="1264"/>
      <c r="F1" s="1264"/>
      <c r="G1" s="1268"/>
      <c r="H1" s="354"/>
      <c r="I1" s="354"/>
    </row>
    <row r="2" spans="1:9" ht="14" x14ac:dyDescent="0.25">
      <c r="A2" s="1294"/>
      <c r="B2" s="552" t="str">
        <f>'RENDITE CLIENTE'!$A$2</f>
        <v>Calcolo effettuato da:</v>
      </c>
      <c r="C2" s="1257" t="str">
        <f>ANALYSIS!$B$3&amp;" - "&amp;'RENDITE CLIENTE'!$B$2</f>
        <v xml:space="preserve"> - NeoLife AG</v>
      </c>
      <c r="D2" s="1257"/>
      <c r="E2" s="1257"/>
      <c r="F2" s="1257"/>
      <c r="G2" s="1258"/>
      <c r="H2" s="354"/>
      <c r="I2" s="354"/>
    </row>
    <row r="3" spans="1:9" ht="14" x14ac:dyDescent="0.25">
      <c r="A3" s="1294"/>
      <c r="B3" s="552" t="str">
        <f>'RENDITE CLIENTE'!$A$3</f>
        <v>Parametri di calcolo:</v>
      </c>
      <c r="C3" s="1257" t="str">
        <f>'RENDITE CLIENTE'!$B$3&amp;" "&amp;ANALYSIS!$B$19</f>
        <v xml:space="preserve">Scala 44 AVS/AI/IPG + Info fornite da:  </v>
      </c>
      <c r="D3" s="1257"/>
      <c r="E3" s="1257"/>
      <c r="F3" s="1257"/>
      <c r="G3" s="1258"/>
      <c r="H3" s="354"/>
      <c r="I3" s="354"/>
    </row>
    <row r="4" spans="1:9" ht="14.5" thickBot="1" x14ac:dyDescent="0.3">
      <c r="A4" s="1295"/>
      <c r="B4" s="553" t="str">
        <f>'RENDITE CLIENTE'!$A$4</f>
        <v>Calcolo del:</v>
      </c>
      <c r="C4" s="1261">
        <f ca="1">'RENDITE CLIENTE'!$B$4</f>
        <v>45680.292758449075</v>
      </c>
      <c r="D4" s="1261"/>
      <c r="E4" s="1261"/>
      <c r="F4" s="1261"/>
      <c r="G4" s="1262"/>
      <c r="H4" s="355"/>
      <c r="I4" s="355"/>
    </row>
    <row r="6" spans="1:9" s="42" customFormat="1" ht="33" customHeight="1" x14ac:dyDescent="0.3">
      <c r="A6" s="555" t="str">
        <f>ANALYSIS!A157</f>
        <v>TIPOLOGIA RISCHIO</v>
      </c>
      <c r="B6" s="555" t="str">
        <f>ANALYSIS!B157</f>
        <v>COPERTURA ASS.</v>
      </c>
      <c r="C6" s="555" t="str">
        <f>ANALYSIS!C157</f>
        <v>SOMMA ASS. ATTUALE</v>
      </c>
      <c r="D6" s="555" t="str">
        <f>Traduzioni!G615</f>
        <v>Lacuna di copertura</v>
      </c>
      <c r="E6" s="555" t="str">
        <f>ANALYSIS!D157</f>
        <v>SOMA ASS. PROPOSTA</v>
      </c>
      <c r="F6" s="555" t="str">
        <f>ANALYSIS!E157</f>
        <v>PREMIO ATTUALE</v>
      </c>
      <c r="G6" s="555" t="str">
        <f>ANALYSIS!F157</f>
        <v>PREMIO PROPOSTA</v>
      </c>
    </row>
    <row r="7" spans="1:9" ht="13" customHeight="1" x14ac:dyDescent="0.25">
      <c r="A7" s="1459" t="str">
        <f>ANALYSIS!A158</f>
        <v xml:space="preserve">Assicurazione stabili </v>
      </c>
      <c r="B7" s="554" t="str">
        <f>ANALYSIS!B158</f>
        <v>Incendio/Natura</v>
      </c>
      <c r="C7" s="554">
        <f>ANALYSIS!C158</f>
        <v>0</v>
      </c>
      <c r="D7" s="554">
        <f>IF(E7-C7&gt;0,E7-C7,0)</f>
        <v>0</v>
      </c>
      <c r="E7" s="554">
        <f>ANALYSIS!D158</f>
        <v>0</v>
      </c>
      <c r="F7" s="1456">
        <f>ANALYSIS!E158</f>
        <v>0</v>
      </c>
      <c r="G7" s="1456">
        <f>ANALYSIS!F158</f>
        <v>0</v>
      </c>
    </row>
    <row r="8" spans="1:9" ht="13" customHeight="1" x14ac:dyDescent="0.25">
      <c r="A8" s="1459"/>
      <c r="B8" s="554" t="str">
        <f>ANALYSIS!B159</f>
        <v>Danni acque</v>
      </c>
      <c r="C8" s="554">
        <f>ANALYSIS!C159</f>
        <v>0</v>
      </c>
      <c r="D8" s="554">
        <f t="shared" ref="D8:D30" si="0">IF(E8-C8&gt;0,E8-C8,0)</f>
        <v>0</v>
      </c>
      <c r="E8" s="554">
        <f>ANALYSIS!D159</f>
        <v>0</v>
      </c>
      <c r="F8" s="1457"/>
      <c r="G8" s="1457"/>
    </row>
    <row r="9" spans="1:9" ht="13" customHeight="1" x14ac:dyDescent="0.25">
      <c r="A9" s="1459"/>
      <c r="B9" s="554" t="str">
        <f>ANALYSIS!B160</f>
        <v>Rottura vetri</v>
      </c>
      <c r="C9" s="554">
        <f>ANALYSIS!C160</f>
        <v>0</v>
      </c>
      <c r="D9" s="554">
        <f t="shared" si="0"/>
        <v>0</v>
      </c>
      <c r="E9" s="554">
        <f>ANALYSIS!D160</f>
        <v>0</v>
      </c>
      <c r="F9" s="1457"/>
      <c r="G9" s="1457"/>
    </row>
    <row r="10" spans="1:9" ht="13" customHeight="1" x14ac:dyDescent="0.25">
      <c r="A10" s="1459"/>
      <c r="B10" s="554" t="str">
        <f>ANALYSIS!B161</f>
        <v>Furto</v>
      </c>
      <c r="C10" s="554">
        <f>ANALYSIS!C161</f>
        <v>0</v>
      </c>
      <c r="D10" s="554">
        <f t="shared" si="0"/>
        <v>0</v>
      </c>
      <c r="E10" s="554">
        <f>ANALYSIS!D161</f>
        <v>0</v>
      </c>
      <c r="F10" s="1458"/>
      <c r="G10" s="1458"/>
    </row>
    <row r="11" spans="1:9" ht="13" customHeight="1" x14ac:dyDescent="0.25">
      <c r="A11" s="1459"/>
      <c r="B11" s="554" t="str">
        <f>ANALYSIS!B162</f>
        <v>RC Stabili</v>
      </c>
      <c r="C11" s="554">
        <f>ANALYSIS!C162</f>
        <v>0</v>
      </c>
      <c r="D11" s="554">
        <f t="shared" si="0"/>
        <v>0</v>
      </c>
      <c r="E11" s="554">
        <f>ANALYSIS!D162</f>
        <v>0</v>
      </c>
      <c r="F11" s="554">
        <f>ANALYSIS!E162</f>
        <v>0</v>
      </c>
      <c r="G11" s="554">
        <f>ANALYSIS!F162</f>
        <v>0</v>
      </c>
    </row>
    <row r="12" spans="1:9" ht="13" customHeight="1" x14ac:dyDescent="0.25">
      <c r="A12" s="1459" t="str">
        <f>ANALYSIS!A163</f>
        <v xml:space="preserve">Economia Domestica e RC               </v>
      </c>
      <c r="B12" s="554" t="str">
        <f>ANALYSIS!B163</f>
        <v>RC Privata</v>
      </c>
      <c r="C12" s="554">
        <f>ANALYSIS!C163</f>
        <v>0</v>
      </c>
      <c r="D12" s="554">
        <f t="shared" si="0"/>
        <v>0</v>
      </c>
      <c r="E12" s="554">
        <f>ANALYSIS!D163</f>
        <v>0</v>
      </c>
      <c r="F12" s="554">
        <f>ANALYSIS!E163</f>
        <v>0</v>
      </c>
      <c r="G12" s="554">
        <f>ANALYSIS!F163</f>
        <v>0</v>
      </c>
    </row>
    <row r="13" spans="1:9" ht="13" customHeight="1" x14ac:dyDescent="0.25">
      <c r="A13" s="1459"/>
      <c r="B13" s="554" t="str">
        <f>ANALYSIS!B164</f>
        <v>Incendio/Natura</v>
      </c>
      <c r="C13" s="554">
        <f>ANALYSIS!C164</f>
        <v>0</v>
      </c>
      <c r="D13" s="554">
        <f t="shared" si="0"/>
        <v>0</v>
      </c>
      <c r="E13" s="554">
        <f>ANALYSIS!D164</f>
        <v>0</v>
      </c>
      <c r="F13" s="1456">
        <f>ANALYSIS!E164</f>
        <v>0</v>
      </c>
      <c r="G13" s="1456">
        <f>ANALYSIS!F164</f>
        <v>0</v>
      </c>
    </row>
    <row r="14" spans="1:9" ht="13" customHeight="1" x14ac:dyDescent="0.25">
      <c r="A14" s="1459"/>
      <c r="B14" s="554" t="str">
        <f>ANALYSIS!B165</f>
        <v>Danni acque</v>
      </c>
      <c r="C14" s="554">
        <f>ANALYSIS!C165</f>
        <v>0</v>
      </c>
      <c r="D14" s="554">
        <f t="shared" si="0"/>
        <v>0</v>
      </c>
      <c r="E14" s="554">
        <f>ANALYSIS!D165</f>
        <v>0</v>
      </c>
      <c r="F14" s="1457"/>
      <c r="G14" s="1457"/>
    </row>
    <row r="15" spans="1:9" ht="13" customHeight="1" x14ac:dyDescent="0.25">
      <c r="A15" s="1459"/>
      <c r="B15" s="554" t="str">
        <f>ANALYSIS!B166</f>
        <v>Rottura vetri</v>
      </c>
      <c r="C15" s="554">
        <f>ANALYSIS!C166</f>
        <v>0</v>
      </c>
      <c r="D15" s="554">
        <f t="shared" si="0"/>
        <v>0</v>
      </c>
      <c r="E15" s="554">
        <f>ANALYSIS!D166</f>
        <v>0</v>
      </c>
      <c r="F15" s="1457"/>
      <c r="G15" s="1457"/>
    </row>
    <row r="16" spans="1:9" ht="13" customHeight="1" x14ac:dyDescent="0.25">
      <c r="A16" s="1459"/>
      <c r="B16" s="554" t="str">
        <f>ANALYSIS!B167</f>
        <v>Furto</v>
      </c>
      <c r="C16" s="554">
        <f>ANALYSIS!C167</f>
        <v>0</v>
      </c>
      <c r="D16" s="554">
        <f t="shared" si="0"/>
        <v>0</v>
      </c>
      <c r="E16" s="554">
        <f>ANALYSIS!D167</f>
        <v>0</v>
      </c>
      <c r="F16" s="1458"/>
      <c r="G16" s="1458"/>
    </row>
    <row r="17" spans="1:7" ht="13" customHeight="1" x14ac:dyDescent="0.25">
      <c r="A17" s="1459"/>
      <c r="B17" s="554" t="str">
        <f>ANALYSIS!B168</f>
        <v>All-risk</v>
      </c>
      <c r="C17" s="554">
        <f>ANALYSIS!C168</f>
        <v>0</v>
      </c>
      <c r="D17" s="554">
        <f t="shared" si="0"/>
        <v>0</v>
      </c>
      <c r="E17" s="554">
        <f>ANALYSIS!D168</f>
        <v>0</v>
      </c>
      <c r="F17" s="554">
        <f>ANALYSIS!E168</f>
        <v>0</v>
      </c>
      <c r="G17" s="554">
        <f>ANALYSIS!F168</f>
        <v>0</v>
      </c>
    </row>
    <row r="18" spans="1:7" ht="13" customHeight="1" x14ac:dyDescent="0.25">
      <c r="A18" s="1459" t="str">
        <f>ANALYSIS!A169</f>
        <v xml:space="preserve">Protezione giuridica </v>
      </c>
      <c r="B18" s="554" t="str">
        <f>ANALYSIS!B169</f>
        <v>Privata/famiglia</v>
      </c>
      <c r="C18" s="554">
        <f>ANALYSIS!C169</f>
        <v>0</v>
      </c>
      <c r="D18" s="554">
        <f t="shared" si="0"/>
        <v>0</v>
      </c>
      <c r="E18" s="554">
        <f>ANALYSIS!D169</f>
        <v>0</v>
      </c>
      <c r="F18" s="554">
        <f>ANALYSIS!E169</f>
        <v>0</v>
      </c>
      <c r="G18" s="554">
        <f>ANALYSIS!F169</f>
        <v>0</v>
      </c>
    </row>
    <row r="19" spans="1:7" ht="13" customHeight="1" x14ac:dyDescent="0.25">
      <c r="A19" s="1459"/>
      <c r="B19" s="554" t="str">
        <f>ANALYSIS!B170</f>
        <v>Circolazione</v>
      </c>
      <c r="C19" s="554">
        <f>ANALYSIS!C170</f>
        <v>0</v>
      </c>
      <c r="D19" s="554">
        <f t="shared" si="0"/>
        <v>0</v>
      </c>
      <c r="E19" s="554">
        <f>ANALYSIS!D170</f>
        <v>0</v>
      </c>
      <c r="F19" s="554">
        <f>ANALYSIS!E170</f>
        <v>0</v>
      </c>
      <c r="G19" s="554">
        <f>ANALYSIS!F170</f>
        <v>0</v>
      </c>
    </row>
    <row r="20" spans="1:7" ht="13" customHeight="1" x14ac:dyDescent="0.25">
      <c r="A20" s="1459"/>
      <c r="B20" s="554" t="str">
        <f>ANALYSIS!B171</f>
        <v>Medica</v>
      </c>
      <c r="C20" s="554">
        <f>ANALYSIS!C171</f>
        <v>0</v>
      </c>
      <c r="D20" s="554">
        <f t="shared" si="0"/>
        <v>0</v>
      </c>
      <c r="E20" s="554">
        <f>ANALYSIS!D171</f>
        <v>0</v>
      </c>
      <c r="F20" s="554">
        <f>ANALYSIS!E171</f>
        <v>0</v>
      </c>
      <c r="G20" s="554">
        <f>ANALYSIS!F171</f>
        <v>0</v>
      </c>
    </row>
    <row r="21" spans="1:7" ht="13" customHeight="1" x14ac:dyDescent="0.25">
      <c r="A21" s="1460" t="str">
        <f>ANALYSIS!A172</f>
        <v xml:space="preserve">Assicurazioni auto </v>
      </c>
      <c r="B21" s="554" t="str">
        <f>ANALYSIS!B172</f>
        <v>RC V.M.</v>
      </c>
      <c r="C21" s="554">
        <f>ANALYSIS!C172</f>
        <v>0</v>
      </c>
      <c r="D21" s="554">
        <f t="shared" si="0"/>
        <v>0</v>
      </c>
      <c r="E21" s="554">
        <f>ANALYSIS!D172</f>
        <v>0</v>
      </c>
      <c r="F21" s="1456">
        <f>ANALYSIS!E172</f>
        <v>0</v>
      </c>
      <c r="G21" s="1456">
        <f>ANALYSIS!F172</f>
        <v>0</v>
      </c>
    </row>
    <row r="22" spans="1:7" ht="13" customHeight="1" x14ac:dyDescent="0.25">
      <c r="A22" s="1460"/>
      <c r="B22" s="554" t="str">
        <f>ANALYSIS!B173</f>
        <v>Casco Parziale</v>
      </c>
      <c r="C22" s="554">
        <f>ANALYSIS!C173</f>
        <v>0</v>
      </c>
      <c r="D22" s="554">
        <f t="shared" si="0"/>
        <v>0</v>
      </c>
      <c r="E22" s="554">
        <f>ANALYSIS!D173</f>
        <v>0</v>
      </c>
      <c r="F22" s="1457"/>
      <c r="G22" s="1457"/>
    </row>
    <row r="23" spans="1:7" ht="13" customHeight="1" x14ac:dyDescent="0.25">
      <c r="A23" s="1460"/>
      <c r="B23" s="554" t="str">
        <f>ANALYSIS!B174</f>
        <v>Collisione</v>
      </c>
      <c r="C23" s="554">
        <f>ANALYSIS!C174</f>
        <v>0</v>
      </c>
      <c r="D23" s="554">
        <f t="shared" si="0"/>
        <v>0</v>
      </c>
      <c r="E23" s="554">
        <f>ANALYSIS!D174</f>
        <v>0</v>
      </c>
      <c r="F23" s="1457"/>
      <c r="G23" s="1457"/>
    </row>
    <row r="24" spans="1:7" ht="13" customHeight="1" x14ac:dyDescent="0.25">
      <c r="A24" s="1460"/>
      <c r="B24" s="554" t="str">
        <f>ANALYSIS!B175</f>
        <v>Occupanti</v>
      </c>
      <c r="C24" s="554">
        <f>ANALYSIS!C175</f>
        <v>0</v>
      </c>
      <c r="D24" s="554">
        <f t="shared" si="0"/>
        <v>0</v>
      </c>
      <c r="E24" s="554">
        <f>ANALYSIS!D175</f>
        <v>0</v>
      </c>
      <c r="F24" s="1457"/>
      <c r="G24" s="1457"/>
    </row>
    <row r="25" spans="1:7" ht="13" customHeight="1" x14ac:dyDescent="0.25">
      <c r="A25" s="1460"/>
      <c r="B25" s="554" t="str">
        <f>ANALYSIS!B176</f>
        <v>Assistance</v>
      </c>
      <c r="C25" s="554">
        <f>ANALYSIS!C176</f>
        <v>0</v>
      </c>
      <c r="D25" s="554">
        <f t="shared" si="0"/>
        <v>0</v>
      </c>
      <c r="E25" s="554">
        <f>ANALYSIS!D176</f>
        <v>0</v>
      </c>
      <c r="F25" s="1458"/>
      <c r="G25" s="1458"/>
    </row>
    <row r="26" spans="1:7" ht="13" customHeight="1" x14ac:dyDescent="0.25">
      <c r="A26" s="1460" t="str">
        <f>ANALYSIS!A177</f>
        <v xml:space="preserve">Assicurazioni auto </v>
      </c>
      <c r="B26" s="554" t="str">
        <f>ANALYSIS!B177</f>
        <v>RC V.M.</v>
      </c>
      <c r="C26" s="554">
        <f>ANALYSIS!C177</f>
        <v>0</v>
      </c>
      <c r="D26" s="554">
        <f t="shared" si="0"/>
        <v>0</v>
      </c>
      <c r="E26" s="554">
        <f>ANALYSIS!D177</f>
        <v>0</v>
      </c>
      <c r="F26" s="1456">
        <f>ANALYSIS!E177</f>
        <v>0</v>
      </c>
      <c r="G26" s="1456">
        <f>ANALYSIS!F177</f>
        <v>0</v>
      </c>
    </row>
    <row r="27" spans="1:7" ht="13" customHeight="1" x14ac:dyDescent="0.25">
      <c r="A27" s="1460"/>
      <c r="B27" s="554" t="str">
        <f>ANALYSIS!B178</f>
        <v>Casco Parziale</v>
      </c>
      <c r="C27" s="554">
        <f>ANALYSIS!C178</f>
        <v>0</v>
      </c>
      <c r="D27" s="554">
        <f t="shared" si="0"/>
        <v>0</v>
      </c>
      <c r="E27" s="554">
        <f>ANALYSIS!D178</f>
        <v>0</v>
      </c>
      <c r="F27" s="1457"/>
      <c r="G27" s="1457"/>
    </row>
    <row r="28" spans="1:7" ht="13" customHeight="1" x14ac:dyDescent="0.25">
      <c r="A28" s="1460"/>
      <c r="B28" s="554" t="str">
        <f>ANALYSIS!B179</f>
        <v>Collisione</v>
      </c>
      <c r="C28" s="554">
        <f>ANALYSIS!C179</f>
        <v>0</v>
      </c>
      <c r="D28" s="554">
        <f t="shared" si="0"/>
        <v>0</v>
      </c>
      <c r="E28" s="554">
        <f>ANALYSIS!D179</f>
        <v>0</v>
      </c>
      <c r="F28" s="1457"/>
      <c r="G28" s="1457"/>
    </row>
    <row r="29" spans="1:7" ht="13" customHeight="1" x14ac:dyDescent="0.25">
      <c r="A29" s="1460"/>
      <c r="B29" s="554" t="str">
        <f>ANALYSIS!B180</f>
        <v>Occupanti</v>
      </c>
      <c r="C29" s="554">
        <f>ANALYSIS!C180</f>
        <v>0</v>
      </c>
      <c r="D29" s="554">
        <f t="shared" si="0"/>
        <v>0</v>
      </c>
      <c r="E29" s="554">
        <f>ANALYSIS!D180</f>
        <v>0</v>
      </c>
      <c r="F29" s="1457"/>
      <c r="G29" s="1457"/>
    </row>
    <row r="30" spans="1:7" ht="13" customHeight="1" x14ac:dyDescent="0.25">
      <c r="A30" s="1460"/>
      <c r="B30" s="554" t="str">
        <f>ANALYSIS!B181</f>
        <v>Assistance</v>
      </c>
      <c r="C30" s="554">
        <f>ANALYSIS!C181</f>
        <v>0</v>
      </c>
      <c r="D30" s="554">
        <f t="shared" si="0"/>
        <v>0</v>
      </c>
      <c r="E30" s="554">
        <f>ANALYSIS!D181</f>
        <v>0</v>
      </c>
      <c r="F30" s="1458"/>
      <c r="G30" s="1458"/>
    </row>
    <row r="34" spans="1:7" ht="13" thickBot="1" x14ac:dyDescent="0.3"/>
    <row r="35" spans="1:7" ht="14" x14ac:dyDescent="0.25">
      <c r="A35" s="1293"/>
      <c r="B35" s="548" t="str">
        <f>Traduzioni!$G$486</f>
        <v>Calcolo per</v>
      </c>
      <c r="C35" s="1264" t="str">
        <f>Traduzioni!G125</f>
        <v xml:space="preserve">ASSICURAZIONI DI COSE E PATRIMONIALI                               </v>
      </c>
      <c r="D35" s="1264"/>
      <c r="E35" s="1264"/>
      <c r="F35" s="1264"/>
      <c r="G35" s="1268"/>
    </row>
    <row r="36" spans="1:7" ht="14" x14ac:dyDescent="0.25">
      <c r="A36" s="1294"/>
      <c r="B36" s="549" t="str">
        <f>'RENDITE CLIENTE'!$A$2</f>
        <v>Calcolo effettuato da:</v>
      </c>
      <c r="C36" s="1257" t="str">
        <f>ANALYSIS!$B$3&amp;" - "&amp;'RENDITE CLIENTE'!$B$2</f>
        <v xml:space="preserve"> - NeoLife AG</v>
      </c>
      <c r="D36" s="1257"/>
      <c r="E36" s="1257"/>
      <c r="F36" s="1257"/>
      <c r="G36" s="1258"/>
    </row>
    <row r="37" spans="1:7" ht="14" x14ac:dyDescent="0.25">
      <c r="A37" s="1294"/>
      <c r="B37" s="549" t="str">
        <f>'RENDITE CLIENTE'!$A$3</f>
        <v>Parametri di calcolo:</v>
      </c>
      <c r="C37" s="1257" t="str">
        <f>'RENDITE CLIENTE'!$B$3&amp;" "&amp;ANALYSIS!$B$19</f>
        <v xml:space="preserve">Scala 44 AVS/AI/IPG + Info fornite da:  </v>
      </c>
      <c r="D37" s="1257"/>
      <c r="E37" s="1257"/>
      <c r="F37" s="1257"/>
      <c r="G37" s="1258"/>
    </row>
    <row r="38" spans="1:7" ht="14.5" thickBot="1" x14ac:dyDescent="0.3">
      <c r="A38" s="1295"/>
      <c r="B38" s="550" t="str">
        <f>'RENDITE CLIENTE'!$A$4</f>
        <v>Calcolo del:</v>
      </c>
      <c r="C38" s="1261">
        <f ca="1">'RENDITE CLIENTE'!$B$4</f>
        <v>45680.292758449075</v>
      </c>
      <c r="D38" s="1261"/>
      <c r="E38" s="1261"/>
      <c r="F38" s="1261"/>
      <c r="G38" s="1262"/>
    </row>
  </sheetData>
  <sheetProtection sheet="1" objects="1" scenarios="1"/>
  <mergeCells count="23">
    <mergeCell ref="C4:G4"/>
    <mergeCell ref="A35:A38"/>
    <mergeCell ref="C35:G35"/>
    <mergeCell ref="C36:G36"/>
    <mergeCell ref="C37:G37"/>
    <mergeCell ref="C38:G38"/>
    <mergeCell ref="A18:A20"/>
    <mergeCell ref="A21:A25"/>
    <mergeCell ref="A26:A30"/>
    <mergeCell ref="A7:A11"/>
    <mergeCell ref="A12:A17"/>
    <mergeCell ref="A1:A4"/>
    <mergeCell ref="C1:G1"/>
    <mergeCell ref="C2:G2"/>
    <mergeCell ref="C3:G3"/>
    <mergeCell ref="F7:F10"/>
    <mergeCell ref="F26:F30"/>
    <mergeCell ref="G26:G30"/>
    <mergeCell ref="G7:G10"/>
    <mergeCell ref="F13:F16"/>
    <mergeCell ref="G13:G16"/>
    <mergeCell ref="F21:F25"/>
    <mergeCell ref="G21:G25"/>
  </mergeCells>
  <pageMargins left="0.7" right="0.7" top="0.75" bottom="0.75" header="0.3" footer="0.3"/>
  <pageSetup orientation="landscape" r:id="rId1"/>
  <rowBreaks count="1" manualBreakCount="1">
    <brk id="34"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06EF-9310-4465-84F7-FD808937F10B}">
  <dimension ref="A1:K126"/>
  <sheetViews>
    <sheetView showGridLines="0" showRowColHeaders="0" zoomScale="110" zoomScaleNormal="110" zoomScaleSheetLayoutView="130" workbookViewId="0">
      <selection activeCell="E11" sqref="E11"/>
    </sheetView>
  </sheetViews>
  <sheetFormatPr defaultColWidth="11.54296875" defaultRowHeight="12.5" x14ac:dyDescent="0.25"/>
  <cols>
    <col min="1" max="1" width="18.453125" customWidth="1"/>
    <col min="2" max="2" width="18.36328125" customWidth="1"/>
    <col min="3" max="4" width="11.6328125" customWidth="1"/>
    <col min="5" max="10" width="10.6328125" customWidth="1"/>
    <col min="15" max="15" width="17.453125" customWidth="1"/>
    <col min="257" max="257" width="18.453125" customWidth="1"/>
    <col min="258" max="258" width="17.54296875" customWidth="1"/>
    <col min="259" max="259" width="12.1796875" customWidth="1"/>
    <col min="260" max="260" width="10.453125" customWidth="1"/>
    <col min="261" max="261" width="14.26953125" customWidth="1"/>
    <col min="262" max="262" width="8.81640625" customWidth="1"/>
    <col min="263" max="263" width="13" customWidth="1"/>
    <col min="264" max="264" width="12.453125" customWidth="1"/>
    <col min="265" max="265" width="11" customWidth="1"/>
    <col min="271" max="271" width="17.453125" customWidth="1"/>
    <col min="513" max="513" width="18.453125" customWidth="1"/>
    <col min="514" max="514" width="17.54296875" customWidth="1"/>
    <col min="515" max="515" width="12.1796875" customWidth="1"/>
    <col min="516" max="516" width="10.453125" customWidth="1"/>
    <col min="517" max="517" width="14.26953125" customWidth="1"/>
    <col min="518" max="518" width="8.81640625" customWidth="1"/>
    <col min="519" max="519" width="13" customWidth="1"/>
    <col min="520" max="520" width="12.453125" customWidth="1"/>
    <col min="521" max="521" width="11" customWidth="1"/>
    <col min="527" max="527" width="17.453125" customWidth="1"/>
    <col min="769" max="769" width="18.453125" customWidth="1"/>
    <col min="770" max="770" width="17.54296875" customWidth="1"/>
    <col min="771" max="771" width="12.1796875" customWidth="1"/>
    <col min="772" max="772" width="10.453125" customWidth="1"/>
    <col min="773" max="773" width="14.26953125" customWidth="1"/>
    <col min="774" max="774" width="8.81640625" customWidth="1"/>
    <col min="775" max="775" width="13" customWidth="1"/>
    <col min="776" max="776" width="12.453125" customWidth="1"/>
    <col min="777" max="777" width="11" customWidth="1"/>
    <col min="783" max="783" width="17.453125" customWidth="1"/>
    <col min="1025" max="1025" width="18.453125" customWidth="1"/>
    <col min="1026" max="1026" width="17.54296875" customWidth="1"/>
    <col min="1027" max="1027" width="12.1796875" customWidth="1"/>
    <col min="1028" max="1028" width="10.453125" customWidth="1"/>
    <col min="1029" max="1029" width="14.26953125" customWidth="1"/>
    <col min="1030" max="1030" width="8.81640625" customWidth="1"/>
    <col min="1031" max="1031" width="13" customWidth="1"/>
    <col min="1032" max="1032" width="12.453125" customWidth="1"/>
    <col min="1033" max="1033" width="11" customWidth="1"/>
    <col min="1039" max="1039" width="17.453125" customWidth="1"/>
    <col min="1281" max="1281" width="18.453125" customWidth="1"/>
    <col min="1282" max="1282" width="17.54296875" customWidth="1"/>
    <col min="1283" max="1283" width="12.1796875" customWidth="1"/>
    <col min="1284" max="1284" width="10.453125" customWidth="1"/>
    <col min="1285" max="1285" width="14.26953125" customWidth="1"/>
    <col min="1286" max="1286" width="8.81640625" customWidth="1"/>
    <col min="1287" max="1287" width="13" customWidth="1"/>
    <col min="1288" max="1288" width="12.453125" customWidth="1"/>
    <col min="1289" max="1289" width="11" customWidth="1"/>
    <col min="1295" max="1295" width="17.453125" customWidth="1"/>
    <col min="1537" max="1537" width="18.453125" customWidth="1"/>
    <col min="1538" max="1538" width="17.54296875" customWidth="1"/>
    <col min="1539" max="1539" width="12.1796875" customWidth="1"/>
    <col min="1540" max="1540" width="10.453125" customWidth="1"/>
    <col min="1541" max="1541" width="14.26953125" customWidth="1"/>
    <col min="1542" max="1542" width="8.81640625" customWidth="1"/>
    <col min="1543" max="1543" width="13" customWidth="1"/>
    <col min="1544" max="1544" width="12.453125" customWidth="1"/>
    <col min="1545" max="1545" width="11" customWidth="1"/>
    <col min="1551" max="1551" width="17.453125" customWidth="1"/>
    <col min="1793" max="1793" width="18.453125" customWidth="1"/>
    <col min="1794" max="1794" width="17.54296875" customWidth="1"/>
    <col min="1795" max="1795" width="12.1796875" customWidth="1"/>
    <col min="1796" max="1796" width="10.453125" customWidth="1"/>
    <col min="1797" max="1797" width="14.26953125" customWidth="1"/>
    <col min="1798" max="1798" width="8.81640625" customWidth="1"/>
    <col min="1799" max="1799" width="13" customWidth="1"/>
    <col min="1800" max="1800" width="12.453125" customWidth="1"/>
    <col min="1801" max="1801" width="11" customWidth="1"/>
    <col min="1807" max="1807" width="17.453125" customWidth="1"/>
    <col min="2049" max="2049" width="18.453125" customWidth="1"/>
    <col min="2050" max="2050" width="17.54296875" customWidth="1"/>
    <col min="2051" max="2051" width="12.1796875" customWidth="1"/>
    <col min="2052" max="2052" width="10.453125" customWidth="1"/>
    <col min="2053" max="2053" width="14.26953125" customWidth="1"/>
    <col min="2054" max="2054" width="8.81640625" customWidth="1"/>
    <col min="2055" max="2055" width="13" customWidth="1"/>
    <col min="2056" max="2056" width="12.453125" customWidth="1"/>
    <col min="2057" max="2057" width="11" customWidth="1"/>
    <col min="2063" max="2063" width="17.453125" customWidth="1"/>
    <col min="2305" max="2305" width="18.453125" customWidth="1"/>
    <col min="2306" max="2306" width="17.54296875" customWidth="1"/>
    <col min="2307" max="2307" width="12.1796875" customWidth="1"/>
    <col min="2308" max="2308" width="10.453125" customWidth="1"/>
    <col min="2309" max="2309" width="14.26953125" customWidth="1"/>
    <col min="2310" max="2310" width="8.81640625" customWidth="1"/>
    <col min="2311" max="2311" width="13" customWidth="1"/>
    <col min="2312" max="2312" width="12.453125" customWidth="1"/>
    <col min="2313" max="2313" width="11" customWidth="1"/>
    <col min="2319" max="2319" width="17.453125" customWidth="1"/>
    <col min="2561" max="2561" width="18.453125" customWidth="1"/>
    <col min="2562" max="2562" width="17.54296875" customWidth="1"/>
    <col min="2563" max="2563" width="12.1796875" customWidth="1"/>
    <col min="2564" max="2564" width="10.453125" customWidth="1"/>
    <col min="2565" max="2565" width="14.26953125" customWidth="1"/>
    <col min="2566" max="2566" width="8.81640625" customWidth="1"/>
    <col min="2567" max="2567" width="13" customWidth="1"/>
    <col min="2568" max="2568" width="12.453125" customWidth="1"/>
    <col min="2569" max="2569" width="11" customWidth="1"/>
    <col min="2575" max="2575" width="17.453125" customWidth="1"/>
    <col min="2817" max="2817" width="18.453125" customWidth="1"/>
    <col min="2818" max="2818" width="17.54296875" customWidth="1"/>
    <col min="2819" max="2819" width="12.1796875" customWidth="1"/>
    <col min="2820" max="2820" width="10.453125" customWidth="1"/>
    <col min="2821" max="2821" width="14.26953125" customWidth="1"/>
    <col min="2822" max="2822" width="8.81640625" customWidth="1"/>
    <col min="2823" max="2823" width="13" customWidth="1"/>
    <col min="2824" max="2824" width="12.453125" customWidth="1"/>
    <col min="2825" max="2825" width="11" customWidth="1"/>
    <col min="2831" max="2831" width="17.453125" customWidth="1"/>
    <col min="3073" max="3073" width="18.453125" customWidth="1"/>
    <col min="3074" max="3074" width="17.54296875" customWidth="1"/>
    <col min="3075" max="3075" width="12.1796875" customWidth="1"/>
    <col min="3076" max="3076" width="10.453125" customWidth="1"/>
    <col min="3077" max="3077" width="14.26953125" customWidth="1"/>
    <col min="3078" max="3078" width="8.81640625" customWidth="1"/>
    <col min="3079" max="3079" width="13" customWidth="1"/>
    <col min="3080" max="3080" width="12.453125" customWidth="1"/>
    <col min="3081" max="3081" width="11" customWidth="1"/>
    <col min="3087" max="3087" width="17.453125" customWidth="1"/>
    <col min="3329" max="3329" width="18.453125" customWidth="1"/>
    <col min="3330" max="3330" width="17.54296875" customWidth="1"/>
    <col min="3331" max="3331" width="12.1796875" customWidth="1"/>
    <col min="3332" max="3332" width="10.453125" customWidth="1"/>
    <col min="3333" max="3333" width="14.26953125" customWidth="1"/>
    <col min="3334" max="3334" width="8.81640625" customWidth="1"/>
    <col min="3335" max="3335" width="13" customWidth="1"/>
    <col min="3336" max="3336" width="12.453125" customWidth="1"/>
    <col min="3337" max="3337" width="11" customWidth="1"/>
    <col min="3343" max="3343" width="17.453125" customWidth="1"/>
    <col min="3585" max="3585" width="18.453125" customWidth="1"/>
    <col min="3586" max="3586" width="17.54296875" customWidth="1"/>
    <col min="3587" max="3587" width="12.1796875" customWidth="1"/>
    <col min="3588" max="3588" width="10.453125" customWidth="1"/>
    <col min="3589" max="3589" width="14.26953125" customWidth="1"/>
    <col min="3590" max="3590" width="8.81640625" customWidth="1"/>
    <col min="3591" max="3591" width="13" customWidth="1"/>
    <col min="3592" max="3592" width="12.453125" customWidth="1"/>
    <col min="3593" max="3593" width="11" customWidth="1"/>
    <col min="3599" max="3599" width="17.453125" customWidth="1"/>
    <col min="3841" max="3841" width="18.453125" customWidth="1"/>
    <col min="3842" max="3842" width="17.54296875" customWidth="1"/>
    <col min="3843" max="3843" width="12.1796875" customWidth="1"/>
    <col min="3844" max="3844" width="10.453125" customWidth="1"/>
    <col min="3845" max="3845" width="14.26953125" customWidth="1"/>
    <col min="3846" max="3846" width="8.81640625" customWidth="1"/>
    <col min="3847" max="3847" width="13" customWidth="1"/>
    <col min="3848" max="3848" width="12.453125" customWidth="1"/>
    <col min="3849" max="3849" width="11" customWidth="1"/>
    <col min="3855" max="3855" width="17.453125" customWidth="1"/>
    <col min="4097" max="4097" width="18.453125" customWidth="1"/>
    <col min="4098" max="4098" width="17.54296875" customWidth="1"/>
    <col min="4099" max="4099" width="12.1796875" customWidth="1"/>
    <col min="4100" max="4100" width="10.453125" customWidth="1"/>
    <col min="4101" max="4101" width="14.26953125" customWidth="1"/>
    <col min="4102" max="4102" width="8.81640625" customWidth="1"/>
    <col min="4103" max="4103" width="13" customWidth="1"/>
    <col min="4104" max="4104" width="12.453125" customWidth="1"/>
    <col min="4105" max="4105" width="11" customWidth="1"/>
    <col min="4111" max="4111" width="17.453125" customWidth="1"/>
    <col min="4353" max="4353" width="18.453125" customWidth="1"/>
    <col min="4354" max="4354" width="17.54296875" customWidth="1"/>
    <col min="4355" max="4355" width="12.1796875" customWidth="1"/>
    <col min="4356" max="4356" width="10.453125" customWidth="1"/>
    <col min="4357" max="4357" width="14.26953125" customWidth="1"/>
    <col min="4358" max="4358" width="8.81640625" customWidth="1"/>
    <col min="4359" max="4359" width="13" customWidth="1"/>
    <col min="4360" max="4360" width="12.453125" customWidth="1"/>
    <col min="4361" max="4361" width="11" customWidth="1"/>
    <col min="4367" max="4367" width="17.453125" customWidth="1"/>
    <col min="4609" max="4609" width="18.453125" customWidth="1"/>
    <col min="4610" max="4610" width="17.54296875" customWidth="1"/>
    <col min="4611" max="4611" width="12.1796875" customWidth="1"/>
    <col min="4612" max="4612" width="10.453125" customWidth="1"/>
    <col min="4613" max="4613" width="14.26953125" customWidth="1"/>
    <col min="4614" max="4614" width="8.81640625" customWidth="1"/>
    <col min="4615" max="4615" width="13" customWidth="1"/>
    <col min="4616" max="4616" width="12.453125" customWidth="1"/>
    <col min="4617" max="4617" width="11" customWidth="1"/>
    <col min="4623" max="4623" width="17.453125" customWidth="1"/>
    <col min="4865" max="4865" width="18.453125" customWidth="1"/>
    <col min="4866" max="4866" width="17.54296875" customWidth="1"/>
    <col min="4867" max="4867" width="12.1796875" customWidth="1"/>
    <col min="4868" max="4868" width="10.453125" customWidth="1"/>
    <col min="4869" max="4869" width="14.26953125" customWidth="1"/>
    <col min="4870" max="4870" width="8.81640625" customWidth="1"/>
    <col min="4871" max="4871" width="13" customWidth="1"/>
    <col min="4872" max="4872" width="12.453125" customWidth="1"/>
    <col min="4873" max="4873" width="11" customWidth="1"/>
    <col min="4879" max="4879" width="17.453125" customWidth="1"/>
    <col min="5121" max="5121" width="18.453125" customWidth="1"/>
    <col min="5122" max="5122" width="17.54296875" customWidth="1"/>
    <col min="5123" max="5123" width="12.1796875" customWidth="1"/>
    <col min="5124" max="5124" width="10.453125" customWidth="1"/>
    <col min="5125" max="5125" width="14.26953125" customWidth="1"/>
    <col min="5126" max="5126" width="8.81640625" customWidth="1"/>
    <col min="5127" max="5127" width="13" customWidth="1"/>
    <col min="5128" max="5128" width="12.453125" customWidth="1"/>
    <col min="5129" max="5129" width="11" customWidth="1"/>
    <col min="5135" max="5135" width="17.453125" customWidth="1"/>
    <col min="5377" max="5377" width="18.453125" customWidth="1"/>
    <col min="5378" max="5378" width="17.54296875" customWidth="1"/>
    <col min="5379" max="5379" width="12.1796875" customWidth="1"/>
    <col min="5380" max="5380" width="10.453125" customWidth="1"/>
    <col min="5381" max="5381" width="14.26953125" customWidth="1"/>
    <col min="5382" max="5382" width="8.81640625" customWidth="1"/>
    <col min="5383" max="5383" width="13" customWidth="1"/>
    <col min="5384" max="5384" width="12.453125" customWidth="1"/>
    <col min="5385" max="5385" width="11" customWidth="1"/>
    <col min="5391" max="5391" width="17.453125" customWidth="1"/>
    <col min="5633" max="5633" width="18.453125" customWidth="1"/>
    <col min="5634" max="5634" width="17.54296875" customWidth="1"/>
    <col min="5635" max="5635" width="12.1796875" customWidth="1"/>
    <col min="5636" max="5636" width="10.453125" customWidth="1"/>
    <col min="5637" max="5637" width="14.26953125" customWidth="1"/>
    <col min="5638" max="5638" width="8.81640625" customWidth="1"/>
    <col min="5639" max="5639" width="13" customWidth="1"/>
    <col min="5640" max="5640" width="12.453125" customWidth="1"/>
    <col min="5641" max="5641" width="11" customWidth="1"/>
    <col min="5647" max="5647" width="17.453125" customWidth="1"/>
    <col min="5889" max="5889" width="18.453125" customWidth="1"/>
    <col min="5890" max="5890" width="17.54296875" customWidth="1"/>
    <col min="5891" max="5891" width="12.1796875" customWidth="1"/>
    <col min="5892" max="5892" width="10.453125" customWidth="1"/>
    <col min="5893" max="5893" width="14.26953125" customWidth="1"/>
    <col min="5894" max="5894" width="8.81640625" customWidth="1"/>
    <col min="5895" max="5895" width="13" customWidth="1"/>
    <col min="5896" max="5896" width="12.453125" customWidth="1"/>
    <col min="5897" max="5897" width="11" customWidth="1"/>
    <col min="5903" max="5903" width="17.453125" customWidth="1"/>
    <col min="6145" max="6145" width="18.453125" customWidth="1"/>
    <col min="6146" max="6146" width="17.54296875" customWidth="1"/>
    <col min="6147" max="6147" width="12.1796875" customWidth="1"/>
    <col min="6148" max="6148" width="10.453125" customWidth="1"/>
    <col min="6149" max="6149" width="14.26953125" customWidth="1"/>
    <col min="6150" max="6150" width="8.81640625" customWidth="1"/>
    <col min="6151" max="6151" width="13" customWidth="1"/>
    <col min="6152" max="6152" width="12.453125" customWidth="1"/>
    <col min="6153" max="6153" width="11" customWidth="1"/>
    <col min="6159" max="6159" width="17.453125" customWidth="1"/>
    <col min="6401" max="6401" width="18.453125" customWidth="1"/>
    <col min="6402" max="6402" width="17.54296875" customWidth="1"/>
    <col min="6403" max="6403" width="12.1796875" customWidth="1"/>
    <col min="6404" max="6404" width="10.453125" customWidth="1"/>
    <col min="6405" max="6405" width="14.26953125" customWidth="1"/>
    <col min="6406" max="6406" width="8.81640625" customWidth="1"/>
    <col min="6407" max="6407" width="13" customWidth="1"/>
    <col min="6408" max="6408" width="12.453125" customWidth="1"/>
    <col min="6409" max="6409" width="11" customWidth="1"/>
    <col min="6415" max="6415" width="17.453125" customWidth="1"/>
    <col min="6657" max="6657" width="18.453125" customWidth="1"/>
    <col min="6658" max="6658" width="17.54296875" customWidth="1"/>
    <col min="6659" max="6659" width="12.1796875" customWidth="1"/>
    <col min="6660" max="6660" width="10.453125" customWidth="1"/>
    <col min="6661" max="6661" width="14.26953125" customWidth="1"/>
    <col min="6662" max="6662" width="8.81640625" customWidth="1"/>
    <col min="6663" max="6663" width="13" customWidth="1"/>
    <col min="6664" max="6664" width="12.453125" customWidth="1"/>
    <col min="6665" max="6665" width="11" customWidth="1"/>
    <col min="6671" max="6671" width="17.453125" customWidth="1"/>
    <col min="6913" max="6913" width="18.453125" customWidth="1"/>
    <col min="6914" max="6914" width="17.54296875" customWidth="1"/>
    <col min="6915" max="6915" width="12.1796875" customWidth="1"/>
    <col min="6916" max="6916" width="10.453125" customWidth="1"/>
    <col min="6917" max="6917" width="14.26953125" customWidth="1"/>
    <col min="6918" max="6918" width="8.81640625" customWidth="1"/>
    <col min="6919" max="6919" width="13" customWidth="1"/>
    <col min="6920" max="6920" width="12.453125" customWidth="1"/>
    <col min="6921" max="6921" width="11" customWidth="1"/>
    <col min="6927" max="6927" width="17.453125" customWidth="1"/>
    <col min="7169" max="7169" width="18.453125" customWidth="1"/>
    <col min="7170" max="7170" width="17.54296875" customWidth="1"/>
    <col min="7171" max="7171" width="12.1796875" customWidth="1"/>
    <col min="7172" max="7172" width="10.453125" customWidth="1"/>
    <col min="7173" max="7173" width="14.26953125" customWidth="1"/>
    <col min="7174" max="7174" width="8.81640625" customWidth="1"/>
    <col min="7175" max="7175" width="13" customWidth="1"/>
    <col min="7176" max="7176" width="12.453125" customWidth="1"/>
    <col min="7177" max="7177" width="11" customWidth="1"/>
    <col min="7183" max="7183" width="17.453125" customWidth="1"/>
    <col min="7425" max="7425" width="18.453125" customWidth="1"/>
    <col min="7426" max="7426" width="17.54296875" customWidth="1"/>
    <col min="7427" max="7427" width="12.1796875" customWidth="1"/>
    <col min="7428" max="7428" width="10.453125" customWidth="1"/>
    <col min="7429" max="7429" width="14.26953125" customWidth="1"/>
    <col min="7430" max="7430" width="8.81640625" customWidth="1"/>
    <col min="7431" max="7431" width="13" customWidth="1"/>
    <col min="7432" max="7432" width="12.453125" customWidth="1"/>
    <col min="7433" max="7433" width="11" customWidth="1"/>
    <col min="7439" max="7439" width="17.453125" customWidth="1"/>
    <col min="7681" max="7681" width="18.453125" customWidth="1"/>
    <col min="7682" max="7682" width="17.54296875" customWidth="1"/>
    <col min="7683" max="7683" width="12.1796875" customWidth="1"/>
    <col min="7684" max="7684" width="10.453125" customWidth="1"/>
    <col min="7685" max="7685" width="14.26953125" customWidth="1"/>
    <col min="7686" max="7686" width="8.81640625" customWidth="1"/>
    <col min="7687" max="7687" width="13" customWidth="1"/>
    <col min="7688" max="7688" width="12.453125" customWidth="1"/>
    <col min="7689" max="7689" width="11" customWidth="1"/>
    <col min="7695" max="7695" width="17.453125" customWidth="1"/>
    <col min="7937" max="7937" width="18.453125" customWidth="1"/>
    <col min="7938" max="7938" width="17.54296875" customWidth="1"/>
    <col min="7939" max="7939" width="12.1796875" customWidth="1"/>
    <col min="7940" max="7940" width="10.453125" customWidth="1"/>
    <col min="7941" max="7941" width="14.26953125" customWidth="1"/>
    <col min="7942" max="7942" width="8.81640625" customWidth="1"/>
    <col min="7943" max="7943" width="13" customWidth="1"/>
    <col min="7944" max="7944" width="12.453125" customWidth="1"/>
    <col min="7945" max="7945" width="11" customWidth="1"/>
    <col min="7951" max="7951" width="17.453125" customWidth="1"/>
    <col min="8193" max="8193" width="18.453125" customWidth="1"/>
    <col min="8194" max="8194" width="17.54296875" customWidth="1"/>
    <col min="8195" max="8195" width="12.1796875" customWidth="1"/>
    <col min="8196" max="8196" width="10.453125" customWidth="1"/>
    <col min="8197" max="8197" width="14.26953125" customWidth="1"/>
    <col min="8198" max="8198" width="8.81640625" customWidth="1"/>
    <col min="8199" max="8199" width="13" customWidth="1"/>
    <col min="8200" max="8200" width="12.453125" customWidth="1"/>
    <col min="8201" max="8201" width="11" customWidth="1"/>
    <col min="8207" max="8207" width="17.453125" customWidth="1"/>
    <col min="8449" max="8449" width="18.453125" customWidth="1"/>
    <col min="8450" max="8450" width="17.54296875" customWidth="1"/>
    <col min="8451" max="8451" width="12.1796875" customWidth="1"/>
    <col min="8452" max="8452" width="10.453125" customWidth="1"/>
    <col min="8453" max="8453" width="14.26953125" customWidth="1"/>
    <col min="8454" max="8454" width="8.81640625" customWidth="1"/>
    <col min="8455" max="8455" width="13" customWidth="1"/>
    <col min="8456" max="8456" width="12.453125" customWidth="1"/>
    <col min="8457" max="8457" width="11" customWidth="1"/>
    <col min="8463" max="8463" width="17.453125" customWidth="1"/>
    <col min="8705" max="8705" width="18.453125" customWidth="1"/>
    <col min="8706" max="8706" width="17.54296875" customWidth="1"/>
    <col min="8707" max="8707" width="12.1796875" customWidth="1"/>
    <col min="8708" max="8708" width="10.453125" customWidth="1"/>
    <col min="8709" max="8709" width="14.26953125" customWidth="1"/>
    <col min="8710" max="8710" width="8.81640625" customWidth="1"/>
    <col min="8711" max="8711" width="13" customWidth="1"/>
    <col min="8712" max="8712" width="12.453125" customWidth="1"/>
    <col min="8713" max="8713" width="11" customWidth="1"/>
    <col min="8719" max="8719" width="17.453125" customWidth="1"/>
    <col min="8961" max="8961" width="18.453125" customWidth="1"/>
    <col min="8962" max="8962" width="17.54296875" customWidth="1"/>
    <col min="8963" max="8963" width="12.1796875" customWidth="1"/>
    <col min="8964" max="8964" width="10.453125" customWidth="1"/>
    <col min="8965" max="8965" width="14.26953125" customWidth="1"/>
    <col min="8966" max="8966" width="8.81640625" customWidth="1"/>
    <col min="8967" max="8967" width="13" customWidth="1"/>
    <col min="8968" max="8968" width="12.453125" customWidth="1"/>
    <col min="8969" max="8969" width="11" customWidth="1"/>
    <col min="8975" max="8975" width="17.453125" customWidth="1"/>
    <col min="9217" max="9217" width="18.453125" customWidth="1"/>
    <col min="9218" max="9218" width="17.54296875" customWidth="1"/>
    <col min="9219" max="9219" width="12.1796875" customWidth="1"/>
    <col min="9220" max="9220" width="10.453125" customWidth="1"/>
    <col min="9221" max="9221" width="14.26953125" customWidth="1"/>
    <col min="9222" max="9222" width="8.81640625" customWidth="1"/>
    <col min="9223" max="9223" width="13" customWidth="1"/>
    <col min="9224" max="9224" width="12.453125" customWidth="1"/>
    <col min="9225" max="9225" width="11" customWidth="1"/>
    <col min="9231" max="9231" width="17.453125" customWidth="1"/>
    <col min="9473" max="9473" width="18.453125" customWidth="1"/>
    <col min="9474" max="9474" width="17.54296875" customWidth="1"/>
    <col min="9475" max="9475" width="12.1796875" customWidth="1"/>
    <col min="9476" max="9476" width="10.453125" customWidth="1"/>
    <col min="9477" max="9477" width="14.26953125" customWidth="1"/>
    <col min="9478" max="9478" width="8.81640625" customWidth="1"/>
    <col min="9479" max="9479" width="13" customWidth="1"/>
    <col min="9480" max="9480" width="12.453125" customWidth="1"/>
    <col min="9481" max="9481" width="11" customWidth="1"/>
    <col min="9487" max="9487" width="17.453125" customWidth="1"/>
    <col min="9729" max="9729" width="18.453125" customWidth="1"/>
    <col min="9730" max="9730" width="17.54296875" customWidth="1"/>
    <col min="9731" max="9731" width="12.1796875" customWidth="1"/>
    <col min="9732" max="9732" width="10.453125" customWidth="1"/>
    <col min="9733" max="9733" width="14.26953125" customWidth="1"/>
    <col min="9734" max="9734" width="8.81640625" customWidth="1"/>
    <col min="9735" max="9735" width="13" customWidth="1"/>
    <col min="9736" max="9736" width="12.453125" customWidth="1"/>
    <col min="9737" max="9737" width="11" customWidth="1"/>
    <col min="9743" max="9743" width="17.453125" customWidth="1"/>
    <col min="9985" max="9985" width="18.453125" customWidth="1"/>
    <col min="9986" max="9986" width="17.54296875" customWidth="1"/>
    <col min="9987" max="9987" width="12.1796875" customWidth="1"/>
    <col min="9988" max="9988" width="10.453125" customWidth="1"/>
    <col min="9989" max="9989" width="14.26953125" customWidth="1"/>
    <col min="9990" max="9990" width="8.81640625" customWidth="1"/>
    <col min="9991" max="9991" width="13" customWidth="1"/>
    <col min="9992" max="9992" width="12.453125" customWidth="1"/>
    <col min="9993" max="9993" width="11" customWidth="1"/>
    <col min="9999" max="9999" width="17.453125" customWidth="1"/>
    <col min="10241" max="10241" width="18.453125" customWidth="1"/>
    <col min="10242" max="10242" width="17.54296875" customWidth="1"/>
    <col min="10243" max="10243" width="12.1796875" customWidth="1"/>
    <col min="10244" max="10244" width="10.453125" customWidth="1"/>
    <col min="10245" max="10245" width="14.26953125" customWidth="1"/>
    <col min="10246" max="10246" width="8.81640625" customWidth="1"/>
    <col min="10247" max="10247" width="13" customWidth="1"/>
    <col min="10248" max="10248" width="12.453125" customWidth="1"/>
    <col min="10249" max="10249" width="11" customWidth="1"/>
    <col min="10255" max="10255" width="17.453125" customWidth="1"/>
    <col min="10497" max="10497" width="18.453125" customWidth="1"/>
    <col min="10498" max="10498" width="17.54296875" customWidth="1"/>
    <col min="10499" max="10499" width="12.1796875" customWidth="1"/>
    <col min="10500" max="10500" width="10.453125" customWidth="1"/>
    <col min="10501" max="10501" width="14.26953125" customWidth="1"/>
    <col min="10502" max="10502" width="8.81640625" customWidth="1"/>
    <col min="10503" max="10503" width="13" customWidth="1"/>
    <col min="10504" max="10504" width="12.453125" customWidth="1"/>
    <col min="10505" max="10505" width="11" customWidth="1"/>
    <col min="10511" max="10511" width="17.453125" customWidth="1"/>
    <col min="10753" max="10753" width="18.453125" customWidth="1"/>
    <col min="10754" max="10754" width="17.54296875" customWidth="1"/>
    <col min="10755" max="10755" width="12.1796875" customWidth="1"/>
    <col min="10756" max="10756" width="10.453125" customWidth="1"/>
    <col min="10757" max="10757" width="14.26953125" customWidth="1"/>
    <col min="10758" max="10758" width="8.81640625" customWidth="1"/>
    <col min="10759" max="10759" width="13" customWidth="1"/>
    <col min="10760" max="10760" width="12.453125" customWidth="1"/>
    <col min="10761" max="10761" width="11" customWidth="1"/>
    <col min="10767" max="10767" width="17.453125" customWidth="1"/>
    <col min="11009" max="11009" width="18.453125" customWidth="1"/>
    <col min="11010" max="11010" width="17.54296875" customWidth="1"/>
    <col min="11011" max="11011" width="12.1796875" customWidth="1"/>
    <col min="11012" max="11012" width="10.453125" customWidth="1"/>
    <col min="11013" max="11013" width="14.26953125" customWidth="1"/>
    <col min="11014" max="11014" width="8.81640625" customWidth="1"/>
    <col min="11015" max="11015" width="13" customWidth="1"/>
    <col min="11016" max="11016" width="12.453125" customWidth="1"/>
    <col min="11017" max="11017" width="11" customWidth="1"/>
    <col min="11023" max="11023" width="17.453125" customWidth="1"/>
    <col min="11265" max="11265" width="18.453125" customWidth="1"/>
    <col min="11266" max="11266" width="17.54296875" customWidth="1"/>
    <col min="11267" max="11267" width="12.1796875" customWidth="1"/>
    <col min="11268" max="11268" width="10.453125" customWidth="1"/>
    <col min="11269" max="11269" width="14.26953125" customWidth="1"/>
    <col min="11270" max="11270" width="8.81640625" customWidth="1"/>
    <col min="11271" max="11271" width="13" customWidth="1"/>
    <col min="11272" max="11272" width="12.453125" customWidth="1"/>
    <col min="11273" max="11273" width="11" customWidth="1"/>
    <col min="11279" max="11279" width="17.453125" customWidth="1"/>
    <col min="11521" max="11521" width="18.453125" customWidth="1"/>
    <col min="11522" max="11522" width="17.54296875" customWidth="1"/>
    <col min="11523" max="11523" width="12.1796875" customWidth="1"/>
    <col min="11524" max="11524" width="10.453125" customWidth="1"/>
    <col min="11525" max="11525" width="14.26953125" customWidth="1"/>
    <col min="11526" max="11526" width="8.81640625" customWidth="1"/>
    <col min="11527" max="11527" width="13" customWidth="1"/>
    <col min="11528" max="11528" width="12.453125" customWidth="1"/>
    <col min="11529" max="11529" width="11" customWidth="1"/>
    <col min="11535" max="11535" width="17.453125" customWidth="1"/>
    <col min="11777" max="11777" width="18.453125" customWidth="1"/>
    <col min="11778" max="11778" width="17.54296875" customWidth="1"/>
    <col min="11779" max="11779" width="12.1796875" customWidth="1"/>
    <col min="11780" max="11780" width="10.453125" customWidth="1"/>
    <col min="11781" max="11781" width="14.26953125" customWidth="1"/>
    <col min="11782" max="11782" width="8.81640625" customWidth="1"/>
    <col min="11783" max="11783" width="13" customWidth="1"/>
    <col min="11784" max="11784" width="12.453125" customWidth="1"/>
    <col min="11785" max="11785" width="11" customWidth="1"/>
    <col min="11791" max="11791" width="17.453125" customWidth="1"/>
    <col min="12033" max="12033" width="18.453125" customWidth="1"/>
    <col min="12034" max="12034" width="17.54296875" customWidth="1"/>
    <col min="12035" max="12035" width="12.1796875" customWidth="1"/>
    <col min="12036" max="12036" width="10.453125" customWidth="1"/>
    <col min="12037" max="12037" width="14.26953125" customWidth="1"/>
    <col min="12038" max="12038" width="8.81640625" customWidth="1"/>
    <col min="12039" max="12039" width="13" customWidth="1"/>
    <col min="12040" max="12040" width="12.453125" customWidth="1"/>
    <col min="12041" max="12041" width="11" customWidth="1"/>
    <col min="12047" max="12047" width="17.453125" customWidth="1"/>
    <col min="12289" max="12289" width="18.453125" customWidth="1"/>
    <col min="12290" max="12290" width="17.54296875" customWidth="1"/>
    <col min="12291" max="12291" width="12.1796875" customWidth="1"/>
    <col min="12292" max="12292" width="10.453125" customWidth="1"/>
    <col min="12293" max="12293" width="14.26953125" customWidth="1"/>
    <col min="12294" max="12294" width="8.81640625" customWidth="1"/>
    <col min="12295" max="12295" width="13" customWidth="1"/>
    <col min="12296" max="12296" width="12.453125" customWidth="1"/>
    <col min="12297" max="12297" width="11" customWidth="1"/>
    <col min="12303" max="12303" width="17.453125" customWidth="1"/>
    <col min="12545" max="12545" width="18.453125" customWidth="1"/>
    <col min="12546" max="12546" width="17.54296875" customWidth="1"/>
    <col min="12547" max="12547" width="12.1796875" customWidth="1"/>
    <col min="12548" max="12548" width="10.453125" customWidth="1"/>
    <col min="12549" max="12549" width="14.26953125" customWidth="1"/>
    <col min="12550" max="12550" width="8.81640625" customWidth="1"/>
    <col min="12551" max="12551" width="13" customWidth="1"/>
    <col min="12552" max="12552" width="12.453125" customWidth="1"/>
    <col min="12553" max="12553" width="11" customWidth="1"/>
    <col min="12559" max="12559" width="17.453125" customWidth="1"/>
    <col min="12801" max="12801" width="18.453125" customWidth="1"/>
    <col min="12802" max="12802" width="17.54296875" customWidth="1"/>
    <col min="12803" max="12803" width="12.1796875" customWidth="1"/>
    <col min="12804" max="12804" width="10.453125" customWidth="1"/>
    <col min="12805" max="12805" width="14.26953125" customWidth="1"/>
    <col min="12806" max="12806" width="8.81640625" customWidth="1"/>
    <col min="12807" max="12807" width="13" customWidth="1"/>
    <col min="12808" max="12808" width="12.453125" customWidth="1"/>
    <col min="12809" max="12809" width="11" customWidth="1"/>
    <col min="12815" max="12815" width="17.453125" customWidth="1"/>
    <col min="13057" max="13057" width="18.453125" customWidth="1"/>
    <col min="13058" max="13058" width="17.54296875" customWidth="1"/>
    <col min="13059" max="13059" width="12.1796875" customWidth="1"/>
    <col min="13060" max="13060" width="10.453125" customWidth="1"/>
    <col min="13061" max="13061" width="14.26953125" customWidth="1"/>
    <col min="13062" max="13062" width="8.81640625" customWidth="1"/>
    <col min="13063" max="13063" width="13" customWidth="1"/>
    <col min="13064" max="13064" width="12.453125" customWidth="1"/>
    <col min="13065" max="13065" width="11" customWidth="1"/>
    <col min="13071" max="13071" width="17.453125" customWidth="1"/>
    <col min="13313" max="13313" width="18.453125" customWidth="1"/>
    <col min="13314" max="13314" width="17.54296875" customWidth="1"/>
    <col min="13315" max="13315" width="12.1796875" customWidth="1"/>
    <col min="13316" max="13316" width="10.453125" customWidth="1"/>
    <col min="13317" max="13317" width="14.26953125" customWidth="1"/>
    <col min="13318" max="13318" width="8.81640625" customWidth="1"/>
    <col min="13319" max="13319" width="13" customWidth="1"/>
    <col min="13320" max="13320" width="12.453125" customWidth="1"/>
    <col min="13321" max="13321" width="11" customWidth="1"/>
    <col min="13327" max="13327" width="17.453125" customWidth="1"/>
    <col min="13569" max="13569" width="18.453125" customWidth="1"/>
    <col min="13570" max="13570" width="17.54296875" customWidth="1"/>
    <col min="13571" max="13571" width="12.1796875" customWidth="1"/>
    <col min="13572" max="13572" width="10.453125" customWidth="1"/>
    <col min="13573" max="13573" width="14.26953125" customWidth="1"/>
    <col min="13574" max="13574" width="8.81640625" customWidth="1"/>
    <col min="13575" max="13575" width="13" customWidth="1"/>
    <col min="13576" max="13576" width="12.453125" customWidth="1"/>
    <col min="13577" max="13577" width="11" customWidth="1"/>
    <col min="13583" max="13583" width="17.453125" customWidth="1"/>
    <col min="13825" max="13825" width="18.453125" customWidth="1"/>
    <col min="13826" max="13826" width="17.54296875" customWidth="1"/>
    <col min="13827" max="13827" width="12.1796875" customWidth="1"/>
    <col min="13828" max="13828" width="10.453125" customWidth="1"/>
    <col min="13829" max="13829" width="14.26953125" customWidth="1"/>
    <col min="13830" max="13830" width="8.81640625" customWidth="1"/>
    <col min="13831" max="13831" width="13" customWidth="1"/>
    <col min="13832" max="13832" width="12.453125" customWidth="1"/>
    <col min="13833" max="13833" width="11" customWidth="1"/>
    <col min="13839" max="13839" width="17.453125" customWidth="1"/>
    <col min="14081" max="14081" width="18.453125" customWidth="1"/>
    <col min="14082" max="14082" width="17.54296875" customWidth="1"/>
    <col min="14083" max="14083" width="12.1796875" customWidth="1"/>
    <col min="14084" max="14084" width="10.453125" customWidth="1"/>
    <col min="14085" max="14085" width="14.26953125" customWidth="1"/>
    <col min="14086" max="14086" width="8.81640625" customWidth="1"/>
    <col min="14087" max="14087" width="13" customWidth="1"/>
    <col min="14088" max="14088" width="12.453125" customWidth="1"/>
    <col min="14089" max="14089" width="11" customWidth="1"/>
    <col min="14095" max="14095" width="17.453125" customWidth="1"/>
    <col min="14337" max="14337" width="18.453125" customWidth="1"/>
    <col min="14338" max="14338" width="17.54296875" customWidth="1"/>
    <col min="14339" max="14339" width="12.1796875" customWidth="1"/>
    <col min="14340" max="14340" width="10.453125" customWidth="1"/>
    <col min="14341" max="14341" width="14.26953125" customWidth="1"/>
    <col min="14342" max="14342" width="8.81640625" customWidth="1"/>
    <col min="14343" max="14343" width="13" customWidth="1"/>
    <col min="14344" max="14344" width="12.453125" customWidth="1"/>
    <col min="14345" max="14345" width="11" customWidth="1"/>
    <col min="14351" max="14351" width="17.453125" customWidth="1"/>
    <col min="14593" max="14593" width="18.453125" customWidth="1"/>
    <col min="14594" max="14594" width="17.54296875" customWidth="1"/>
    <col min="14595" max="14595" width="12.1796875" customWidth="1"/>
    <col min="14596" max="14596" width="10.453125" customWidth="1"/>
    <col min="14597" max="14597" width="14.26953125" customWidth="1"/>
    <col min="14598" max="14598" width="8.81640625" customWidth="1"/>
    <col min="14599" max="14599" width="13" customWidth="1"/>
    <col min="14600" max="14600" width="12.453125" customWidth="1"/>
    <col min="14601" max="14601" width="11" customWidth="1"/>
    <col min="14607" max="14607" width="17.453125" customWidth="1"/>
    <col min="14849" max="14849" width="18.453125" customWidth="1"/>
    <col min="14850" max="14850" width="17.54296875" customWidth="1"/>
    <col min="14851" max="14851" width="12.1796875" customWidth="1"/>
    <col min="14852" max="14852" width="10.453125" customWidth="1"/>
    <col min="14853" max="14853" width="14.26953125" customWidth="1"/>
    <col min="14854" max="14854" width="8.81640625" customWidth="1"/>
    <col min="14855" max="14855" width="13" customWidth="1"/>
    <col min="14856" max="14856" width="12.453125" customWidth="1"/>
    <col min="14857" max="14857" width="11" customWidth="1"/>
    <col min="14863" max="14863" width="17.453125" customWidth="1"/>
    <col min="15105" max="15105" width="18.453125" customWidth="1"/>
    <col min="15106" max="15106" width="17.54296875" customWidth="1"/>
    <col min="15107" max="15107" width="12.1796875" customWidth="1"/>
    <col min="15108" max="15108" width="10.453125" customWidth="1"/>
    <col min="15109" max="15109" width="14.26953125" customWidth="1"/>
    <col min="15110" max="15110" width="8.81640625" customWidth="1"/>
    <col min="15111" max="15111" width="13" customWidth="1"/>
    <col min="15112" max="15112" width="12.453125" customWidth="1"/>
    <col min="15113" max="15113" width="11" customWidth="1"/>
    <col min="15119" max="15119" width="17.453125" customWidth="1"/>
    <col min="15361" max="15361" width="18.453125" customWidth="1"/>
    <col min="15362" max="15362" width="17.54296875" customWidth="1"/>
    <col min="15363" max="15363" width="12.1796875" customWidth="1"/>
    <col min="15364" max="15364" width="10.453125" customWidth="1"/>
    <col min="15365" max="15365" width="14.26953125" customWidth="1"/>
    <col min="15366" max="15366" width="8.81640625" customWidth="1"/>
    <col min="15367" max="15367" width="13" customWidth="1"/>
    <col min="15368" max="15368" width="12.453125" customWidth="1"/>
    <col min="15369" max="15369" width="11" customWidth="1"/>
    <col min="15375" max="15375" width="17.453125" customWidth="1"/>
    <col min="15617" max="15617" width="18.453125" customWidth="1"/>
    <col min="15618" max="15618" width="17.54296875" customWidth="1"/>
    <col min="15619" max="15619" width="12.1796875" customWidth="1"/>
    <col min="15620" max="15620" width="10.453125" customWidth="1"/>
    <col min="15621" max="15621" width="14.26953125" customWidth="1"/>
    <col min="15622" max="15622" width="8.81640625" customWidth="1"/>
    <col min="15623" max="15623" width="13" customWidth="1"/>
    <col min="15624" max="15624" width="12.453125" customWidth="1"/>
    <col min="15625" max="15625" width="11" customWidth="1"/>
    <col min="15631" max="15631" width="17.453125" customWidth="1"/>
    <col min="15873" max="15873" width="18.453125" customWidth="1"/>
    <col min="15874" max="15874" width="17.54296875" customWidth="1"/>
    <col min="15875" max="15875" width="12.1796875" customWidth="1"/>
    <col min="15876" max="15876" width="10.453125" customWidth="1"/>
    <col min="15877" max="15877" width="14.26953125" customWidth="1"/>
    <col min="15878" max="15878" width="8.81640625" customWidth="1"/>
    <col min="15879" max="15879" width="13" customWidth="1"/>
    <col min="15880" max="15880" width="12.453125" customWidth="1"/>
    <col min="15881" max="15881" width="11" customWidth="1"/>
    <col min="15887" max="15887" width="17.453125" customWidth="1"/>
    <col min="16129" max="16129" width="18.453125" customWidth="1"/>
    <col min="16130" max="16130" width="17.54296875" customWidth="1"/>
    <col min="16131" max="16131" width="12.1796875" customWidth="1"/>
    <col min="16132" max="16132" width="10.453125" customWidth="1"/>
    <col min="16133" max="16133" width="14.26953125" customWidth="1"/>
    <col min="16134" max="16134" width="8.81640625" customWidth="1"/>
    <col min="16135" max="16135" width="13" customWidth="1"/>
    <col min="16136" max="16136" width="12.453125" customWidth="1"/>
    <col min="16137" max="16137" width="11" customWidth="1"/>
    <col min="16143" max="16143" width="17.453125" customWidth="1"/>
  </cols>
  <sheetData>
    <row r="1" spans="1:10" ht="14" x14ac:dyDescent="0.25">
      <c r="A1" s="1490"/>
      <c r="B1" s="1491"/>
      <c r="C1" s="1272" t="str">
        <f>Traduzioni!$G$486</f>
        <v>Calcolo per</v>
      </c>
      <c r="D1" s="1528"/>
      <c r="E1" s="1264" t="str">
        <f>Traduzioni!G701</f>
        <v>PMI ANALISI AZIENDALE</v>
      </c>
      <c r="F1" s="1264"/>
      <c r="G1" s="1264"/>
      <c r="H1" s="1264"/>
      <c r="I1" s="1264"/>
      <c r="J1" s="1268"/>
    </row>
    <row r="2" spans="1:10" ht="14" x14ac:dyDescent="0.25">
      <c r="A2" s="1492"/>
      <c r="B2" s="1249"/>
      <c r="C2" s="552" t="str">
        <f>'RENDITE CLIENTE'!$A$2</f>
        <v>Calcolo effettuato da:</v>
      </c>
      <c r="D2" s="788"/>
      <c r="E2" s="1257" t="str">
        <f>ANALYSIS!$B$3&amp;" - "&amp;'RENDITE CLIENTE'!$B$2</f>
        <v xml:space="preserve"> - NeoLife AG</v>
      </c>
      <c r="F2" s="1257"/>
      <c r="G2" s="1257"/>
      <c r="H2" s="1257"/>
      <c r="I2" s="1257"/>
      <c r="J2" s="1258"/>
    </row>
    <row r="3" spans="1:10" ht="14" x14ac:dyDescent="0.25">
      <c r="A3" s="1492"/>
      <c r="B3" s="1249"/>
      <c r="C3" s="552" t="str">
        <f>'RENDITE CLIENTE'!$A$3</f>
        <v>Parametri di calcolo:</v>
      </c>
      <c r="D3" s="788"/>
      <c r="E3" s="1257" t="str">
        <f>Traduzioni!G295</f>
        <v xml:space="preserve">Info fornite da: </v>
      </c>
      <c r="F3" s="1257"/>
      <c r="G3" s="1257"/>
      <c r="H3" s="1257"/>
      <c r="I3" s="1257"/>
      <c r="J3" s="1258"/>
    </row>
    <row r="4" spans="1:10" ht="14.5" thickBot="1" x14ac:dyDescent="0.3">
      <c r="A4" s="1493"/>
      <c r="B4" s="1494"/>
      <c r="C4" s="1529" t="str">
        <f>'RENDITE CLIENTE'!$A$4</f>
        <v>Calcolo del:</v>
      </c>
      <c r="D4" s="1530"/>
      <c r="E4" s="1261">
        <f ca="1">'RENDITE CLIENTE'!$B$4</f>
        <v>45680.292758449075</v>
      </c>
      <c r="F4" s="1261"/>
      <c r="G4" s="1261"/>
      <c r="H4" s="1261"/>
      <c r="I4" s="1261"/>
      <c r="J4" s="1262"/>
    </row>
    <row r="5" spans="1:10" ht="14" customHeight="1" x14ac:dyDescent="0.25"/>
    <row r="6" spans="1:10" ht="14" customHeight="1" x14ac:dyDescent="0.25">
      <c r="A6" s="1531" t="str">
        <f>Traduzioni!A757</f>
        <v>Ragione sociale</v>
      </c>
      <c r="B6" s="1531"/>
      <c r="C6" s="1486"/>
      <c r="D6" s="1486"/>
      <c r="E6" s="1486"/>
      <c r="F6" s="1486"/>
      <c r="G6" s="1486"/>
      <c r="H6" s="1486"/>
      <c r="I6" s="1486"/>
      <c r="J6" s="1486"/>
    </row>
    <row r="7" spans="1:10" ht="14" customHeight="1" x14ac:dyDescent="0.25">
      <c r="A7" s="1531" t="str">
        <f>Traduzioni!A758</f>
        <v>Tipo di azienda</v>
      </c>
      <c r="B7" s="1531"/>
      <c r="C7" s="1483"/>
      <c r="D7" s="1483"/>
      <c r="E7" s="1483"/>
      <c r="F7" s="1483"/>
      <c r="G7" s="1483"/>
      <c r="H7" s="1483"/>
      <c r="I7" s="1483"/>
      <c r="J7" s="1483"/>
    </row>
    <row r="8" spans="1:10" ht="14" customHeight="1" x14ac:dyDescent="0.25">
      <c r="A8" s="1531" t="str">
        <f>Traduzioni!A759</f>
        <v>Indirizzo Azienda</v>
      </c>
      <c r="B8" s="1531"/>
      <c r="C8" s="1486"/>
      <c r="D8" s="1486"/>
      <c r="E8" s="1486"/>
      <c r="F8" s="1486"/>
      <c r="G8" s="1486"/>
      <c r="H8" s="1486"/>
      <c r="I8" s="1486"/>
      <c r="J8" s="1486"/>
    </row>
    <row r="9" spans="1:10" ht="14" customHeight="1" x14ac:dyDescent="0.25"/>
    <row r="10" spans="1:10" ht="16.5" customHeight="1" x14ac:dyDescent="0.3">
      <c r="A10" s="1532" t="str">
        <f>Traduzioni!G817</f>
        <v>ARGOMENTO</v>
      </c>
      <c r="B10" s="1532"/>
      <c r="C10" s="1532"/>
      <c r="D10" s="1532"/>
      <c r="E10" s="815" t="str">
        <f>Traduzioni!G818</f>
        <v>PRIORITÀ</v>
      </c>
      <c r="F10" s="1533" t="str">
        <f>Traduzioni!$G$823</f>
        <v>SPECIFICHE AZIENDALI PER QUESTO RISCHIO</v>
      </c>
      <c r="G10" s="1533"/>
      <c r="H10" s="1533"/>
      <c r="I10" s="1533"/>
      <c r="J10" s="1533"/>
    </row>
    <row r="11" spans="1:10" ht="55" customHeight="1" x14ac:dyDescent="0.25">
      <c r="A11" s="1482" t="str">
        <f>Traduzioni!G761</f>
        <v>• RISCHI DEL PERSONALE: Perdita di guadagno in caso di malattia, infortunio, invalidità e decesso</v>
      </c>
      <c r="B11" s="1482"/>
      <c r="C11" s="1482"/>
      <c r="D11" s="1482"/>
      <c r="E11" s="863" t="s">
        <v>512</v>
      </c>
      <c r="F11" s="1483"/>
      <c r="G11" s="1483"/>
      <c r="H11" s="1483"/>
      <c r="I11" s="1483"/>
      <c r="J11" s="1483"/>
    </row>
    <row r="12" spans="1:10" ht="55" customHeight="1" x14ac:dyDescent="0.25">
      <c r="A12" s="1482" t="str">
        <f>Traduzioni!G762</f>
        <v>• RISCHI DIRIGENTI, SOCI E AMMINISTRATORI: Garantire i creditori e/o la sopravvivenza dell'azienda in caso di decesso o incapacità lavorativa di persone fondamentali per l'azienda</v>
      </c>
      <c r="B12" s="1482"/>
      <c r="C12" s="1482"/>
      <c r="D12" s="1482"/>
      <c r="E12" s="862" t="s">
        <v>512</v>
      </c>
      <c r="F12" s="1486"/>
      <c r="G12" s="1486"/>
      <c r="H12" s="1486"/>
      <c r="I12" s="1486"/>
      <c r="J12" s="1486"/>
    </row>
    <row r="13" spans="1:10" ht="55" customHeight="1" x14ac:dyDescent="0.25">
      <c r="A13" s="1482" t="str">
        <f>Traduzioni!G763</f>
        <v>• RISCHIO DEL FATTURATO: Difficoltà di incasso in caso di fallimento del committente, lunghe procedure di incasso o cause legali</v>
      </c>
      <c r="B13" s="1482"/>
      <c r="C13" s="1482"/>
      <c r="D13" s="1482"/>
      <c r="E13" s="863" t="s">
        <v>512</v>
      </c>
      <c r="F13" s="1483"/>
      <c r="G13" s="1483"/>
      <c r="H13" s="1483"/>
      <c r="I13" s="1483"/>
      <c r="J13" s="1483"/>
    </row>
    <row r="14" spans="1:10" ht="55" customHeight="1" x14ac:dyDescent="0.25">
      <c r="A14" s="1482" t="str">
        <f>Traduzioni!G764</f>
        <v>• RISCHI FINANZIARI: Ottimizzare la finanziabilità dell'azienda in caso di necessità di liquidità / Richieste di finanziamento tramite crediti aziendali, privati e/o ipotecari, factoring, crowdfunding, private equity, tokenizzazione, venture capital</v>
      </c>
      <c r="B14" s="1482"/>
      <c r="C14" s="1482"/>
      <c r="D14" s="1482"/>
      <c r="E14" s="862" t="s">
        <v>512</v>
      </c>
      <c r="F14" s="1534"/>
      <c r="G14" s="1534"/>
      <c r="H14" s="1534"/>
      <c r="I14" s="1534"/>
      <c r="J14" s="1534"/>
    </row>
    <row r="15" spans="1:10" ht="55" customHeight="1" x14ac:dyDescent="0.25">
      <c r="A15" s="1482" t="str">
        <f>Traduzioni!G861</f>
        <v>• RISCHI PATRIMONIALI DIRETTI: In caso di pretese RC, cause legali, rischio prodotto, rischio esercizio, rischio ambientale, rischio impianti</v>
      </c>
      <c r="B15" s="1482"/>
      <c r="C15" s="1482"/>
      <c r="D15" s="1482"/>
      <c r="E15" s="863" t="s">
        <v>512</v>
      </c>
      <c r="F15" s="1483"/>
      <c r="G15" s="1483"/>
      <c r="H15" s="1483"/>
      <c r="I15" s="1483"/>
      <c r="J15" s="1483"/>
    </row>
    <row r="16" spans="1:10" ht="55" customHeight="1" x14ac:dyDescent="0.25">
      <c r="A16" s="1482" t="str">
        <f>Traduzioni!G766</f>
        <v>• RISCHI PATRIMONIALI INDIRETTI: dipendenzeper contratti di fornitura, pene convenzionali e accordi di risarcimento danni</v>
      </c>
      <c r="B16" s="1482"/>
      <c r="C16" s="1482"/>
      <c r="D16" s="1482"/>
      <c r="E16" s="862" t="s">
        <v>512</v>
      </c>
      <c r="F16" s="1486"/>
      <c r="G16" s="1486"/>
      <c r="H16" s="1486"/>
      <c r="I16" s="1486"/>
      <c r="J16" s="1486"/>
    </row>
    <row r="17" spans="1:10" ht="55" customHeight="1" x14ac:dyDescent="0.25">
      <c r="A17" s="1482" t="str">
        <f>Traduzioni!G767</f>
        <v>• RISCHI PATRIMONIALI DA DANNI COSE: Interruzione di esercizio</v>
      </c>
      <c r="B17" s="1482"/>
      <c r="C17" s="1482"/>
      <c r="D17" s="1482"/>
      <c r="E17" s="863" t="s">
        <v>512</v>
      </c>
      <c r="F17" s="1483"/>
      <c r="G17" s="1483"/>
      <c r="H17" s="1483"/>
      <c r="I17" s="1483"/>
      <c r="J17" s="1483"/>
    </row>
    <row r="18" spans="1:10" ht="55" customHeight="1" x14ac:dyDescent="0.25">
      <c r="A18" s="1482" t="str">
        <f>Traduzioni!G768</f>
        <v>• RISCHI DEL PARCO VEICOLI PROPRIO: Rischi legati alla gestione della flotta aziendale</v>
      </c>
      <c r="B18" s="1482"/>
      <c r="C18" s="1482"/>
      <c r="D18" s="1482"/>
      <c r="E18" s="862" t="s">
        <v>512</v>
      </c>
      <c r="F18" s="1486"/>
      <c r="G18" s="1486"/>
      <c r="H18" s="1486"/>
      <c r="I18" s="1486"/>
      <c r="J18" s="1486"/>
    </row>
    <row r="19" spans="1:10" ht="55" customHeight="1" x14ac:dyDescent="0.25">
      <c r="A19" s="1482" t="str">
        <f>Traduzioni!G769</f>
        <v>• RISCHI DEL PARCO VEICOLI DI CLIENTI:</v>
      </c>
      <c r="B19" s="1482"/>
      <c r="C19" s="1482"/>
      <c r="D19" s="1482"/>
      <c r="E19" s="863" t="s">
        <v>512</v>
      </c>
      <c r="F19" s="1483"/>
      <c r="G19" s="1483"/>
      <c r="H19" s="1483"/>
      <c r="I19" s="1483"/>
      <c r="J19" s="1483"/>
    </row>
    <row r="20" spans="1:10" ht="55" customHeight="1" x14ac:dyDescent="0.25">
      <c r="A20" s="1482" t="str">
        <f>Traduzioni!G770</f>
        <v>• RISCHI MOBILIO, ATTREZZATURE, MAGAZZINO, IMPIANTI, MERCI: Propri e/o di terzi in caso di incendio, furto, danni delle acque, ecc.</v>
      </c>
      <c r="B20" s="1482"/>
      <c r="C20" s="1482"/>
      <c r="D20" s="1482"/>
      <c r="E20" s="862" t="s">
        <v>512</v>
      </c>
      <c r="F20" s="1486"/>
      <c r="G20" s="1486"/>
      <c r="H20" s="1486"/>
      <c r="I20" s="1486"/>
      <c r="J20" s="1486"/>
    </row>
    <row r="21" spans="1:10" ht="55" customHeight="1" x14ac:dyDescent="0.25">
      <c r="A21" s="1482" t="str">
        <f>Traduzioni!G831</f>
        <v>RISCHI IMMOBILIARI: (Immobili aziendali ad uso proprio, in affitto, in costruzione; rischi di base, rischi patrimoniali, rischi finanziari, alternative di finanziamento)</v>
      </c>
      <c r="B21" s="1482"/>
      <c r="C21" s="1482"/>
      <c r="D21" s="1482"/>
      <c r="E21" s="863" t="s">
        <v>512</v>
      </c>
      <c r="F21" s="1483"/>
      <c r="G21" s="1483"/>
      <c r="H21" s="1483"/>
      <c r="I21" s="1483"/>
      <c r="J21" s="1483"/>
    </row>
    <row r="22" spans="1:10" ht="55" customHeight="1" x14ac:dyDescent="0.25">
      <c r="A22" s="1482" t="str">
        <f>Traduzioni!G771</f>
        <v>• RISCHI TECNICI: Ad apparecchiature proprie e/o di terzi (errata manipolazione, guasti, montaggio e smontaggio, fermo macchina, ecc.)</v>
      </c>
      <c r="B22" s="1482"/>
      <c r="C22" s="1482"/>
      <c r="D22" s="1482"/>
      <c r="E22" s="862" t="s">
        <v>512</v>
      </c>
      <c r="F22" s="1486"/>
      <c r="G22" s="1486"/>
      <c r="H22" s="1486"/>
      <c r="I22" s="1486"/>
      <c r="J22" s="1486"/>
    </row>
    <row r="23" spans="1:10" ht="55" customHeight="1" x14ac:dyDescent="0.25">
      <c r="A23" s="1482" t="str">
        <f>Traduzioni!G772</f>
        <v>• RISCHI INFORMATICI: Hackeraggio, furto, cancellazione, pubblicazione o uso improprio dei vostri dati o di quelli dei vostri clienti</v>
      </c>
      <c r="B23" s="1482"/>
      <c r="C23" s="1482"/>
      <c r="D23" s="1482"/>
      <c r="E23" s="863" t="s">
        <v>512</v>
      </c>
      <c r="F23" s="1483"/>
      <c r="G23" s="1483"/>
      <c r="H23" s="1483"/>
      <c r="I23" s="1483"/>
      <c r="J23" s="1483"/>
    </row>
    <row r="24" spans="1:10" ht="55" customHeight="1" x14ac:dyDescent="0.25">
      <c r="A24" s="1482" t="str">
        <f>Traduzioni!G773</f>
        <v>• RISCHI DI TRASPORTO: Danneggiamento, smarrimento o ritardo nel trasporto di merci o beni propri o di terzi, trasportati dall'azienda stessa o tramite terzi</v>
      </c>
      <c r="B24" s="1482"/>
      <c r="C24" s="1482"/>
      <c r="D24" s="1482"/>
      <c r="E24" s="862" t="s">
        <v>512</v>
      </c>
      <c r="F24" s="1486"/>
      <c r="G24" s="1486"/>
      <c r="H24" s="1486"/>
      <c r="I24" s="1486"/>
      <c r="J24" s="1486"/>
    </row>
    <row r="25" spans="1:10" ht="55" customHeight="1" x14ac:dyDescent="0.25">
      <c r="A25" s="1482" t="str">
        <f>Traduzioni!G774</f>
        <v>• RISCHI FISCALI E CONTRIBUTIVI: Rischio di perdita di liquidità dovuto a problematiche fiscali o contributive, a non approfittare di tutte le deduzioni possibili, o di non avere l'assetto contributivo più vantaggioso possibile</v>
      </c>
      <c r="B25" s="1482"/>
      <c r="C25" s="1482"/>
      <c r="D25" s="1482"/>
      <c r="E25" s="863" t="s">
        <v>512</v>
      </c>
      <c r="F25" s="1483"/>
      <c r="G25" s="1483"/>
      <c r="H25" s="1483"/>
      <c r="I25" s="1483"/>
      <c r="J25" s="1483"/>
    </row>
    <row r="26" spans="1:10" ht="55" customHeight="1" x14ac:dyDescent="0.25">
      <c r="A26" s="1482" t="str">
        <f>Traduzioni!G775</f>
        <v>• RISCHIO DELLA GESTIONE ASSICURATIVA: Assicurazioni doppie o a costi eccessivi, lacune assicurative, assistenza indipendente in caso di sinistri o contenziosi</v>
      </c>
      <c r="B26" s="1482"/>
      <c r="C26" s="1482"/>
      <c r="D26" s="1482"/>
      <c r="E26" s="862" t="s">
        <v>512</v>
      </c>
      <c r="F26" s="1486"/>
      <c r="G26" s="1486"/>
      <c r="H26" s="1486"/>
      <c r="I26" s="1486"/>
      <c r="J26" s="1486"/>
    </row>
    <row r="27" spans="1:10" s="859" customFormat="1" ht="37" customHeight="1" x14ac:dyDescent="0.5">
      <c r="A27" s="1461" t="str">
        <f>Traduzioni!G751</f>
        <v>Personale</v>
      </c>
      <c r="B27" s="1461"/>
      <c r="C27" s="1461"/>
      <c r="D27" s="1461"/>
      <c r="E27" s="1461"/>
      <c r="F27" s="1461"/>
      <c r="G27" s="1461"/>
      <c r="H27" s="1461"/>
      <c r="I27" s="1461"/>
      <c r="J27" s="1461"/>
    </row>
    <row r="28" spans="1:10" ht="14" customHeight="1" x14ac:dyDescent="0.25">
      <c r="A28" s="1487" t="str">
        <f>Traduzioni!G777</f>
        <v>Codice NOGA</v>
      </c>
      <c r="B28" s="1487"/>
      <c r="C28" s="1489"/>
      <c r="D28" s="1489"/>
      <c r="E28" s="1489"/>
      <c r="F28" s="1488" t="str">
        <f>Traduzioni!G778</f>
        <v>Contratto collettivo?</v>
      </c>
      <c r="G28" s="1488"/>
      <c r="H28" s="1489"/>
      <c r="I28" s="1489"/>
      <c r="J28" s="1489"/>
    </row>
    <row r="29" spans="1:10" ht="14" customHeight="1" x14ac:dyDescent="0.25">
      <c r="A29" s="1487" t="str">
        <f>Traduzioni!G780</f>
        <v>N. dipendenti uomini</v>
      </c>
      <c r="B29" s="1487"/>
      <c r="C29" s="1537"/>
      <c r="D29" s="1537"/>
      <c r="E29" s="1537"/>
      <c r="F29" s="1484" t="str">
        <f>Traduzioni!G781</f>
        <v>N. dipendenti femmine</v>
      </c>
      <c r="G29" s="1485"/>
      <c r="H29" s="1537"/>
      <c r="I29" s="1537"/>
      <c r="J29" s="1537"/>
    </row>
    <row r="30" spans="1:10" ht="14" customHeight="1" x14ac:dyDescent="0.25">
      <c r="A30" s="1487" t="str">
        <f>Traduzioni!G782</f>
        <v>Volume salari annui Uomini</v>
      </c>
      <c r="B30" s="1487"/>
      <c r="C30" s="1537"/>
      <c r="D30" s="1537"/>
      <c r="E30" s="1537"/>
      <c r="F30" s="1484" t="str">
        <f>Traduzioni!G783</f>
        <v>Volume salari annui Donne</v>
      </c>
      <c r="G30" s="1485"/>
      <c r="H30" s="1537"/>
      <c r="I30" s="1537"/>
      <c r="J30" s="1537"/>
    </row>
    <row r="31" spans="1:10" ht="58" customHeight="1" x14ac:dyDescent="0.25">
      <c r="A31" s="1539" t="str">
        <f>Traduzioni!G863</f>
        <v>DIPENDENTI PER CUI LA DIREZIONE RITIENE OPPORTUNO PROPORRE UNA INFORMATIVA / VERIFICA PREVIDENZIALE</v>
      </c>
      <c r="B31" s="1540"/>
      <c r="C31" s="1541"/>
      <c r="D31" s="1542"/>
      <c r="E31" s="1542"/>
      <c r="F31" s="1542"/>
      <c r="G31" s="1542"/>
      <c r="H31" s="1542"/>
      <c r="I31" s="1542"/>
      <c r="J31" s="1543"/>
    </row>
    <row r="32" spans="1:10" s="859" customFormat="1" ht="37" customHeight="1" x14ac:dyDescent="0.5">
      <c r="A32" s="1464" t="str">
        <f>Traduzioni!G857</f>
        <v>GESTIONE AZIENDALE</v>
      </c>
      <c r="B32" s="1464"/>
      <c r="C32" s="1464"/>
      <c r="D32" s="1464"/>
      <c r="E32" s="1464"/>
      <c r="F32" s="1464"/>
      <c r="G32" s="1464"/>
      <c r="H32" s="1464"/>
      <c r="I32" s="1464"/>
      <c r="J32" s="1464"/>
    </row>
    <row r="33" spans="1:10" s="859" customFormat="1" ht="37" customHeight="1" x14ac:dyDescent="0.45">
      <c r="A33" s="1462" t="str">
        <f>Traduzioni!G858</f>
        <v>PRODOTTO DELL'AZIENDA</v>
      </c>
      <c r="B33" s="1462"/>
      <c r="C33" s="1463"/>
      <c r="D33" s="1463"/>
      <c r="E33" s="1463"/>
      <c r="F33" s="1463"/>
      <c r="G33" s="1463"/>
      <c r="H33" s="1463"/>
      <c r="I33" s="1463"/>
      <c r="J33" s="1463"/>
    </row>
    <row r="34" spans="1:10" s="859" customFormat="1" ht="37" customHeight="1" x14ac:dyDescent="0.45">
      <c r="A34" s="1462" t="str">
        <f>Traduzioni!G859</f>
        <v>OBIETTIVI E SVILUPPI AZIENDALI</v>
      </c>
      <c r="B34" s="1462"/>
      <c r="C34" s="1463"/>
      <c r="D34" s="1463"/>
      <c r="E34" s="1463"/>
      <c r="F34" s="1463"/>
      <c r="G34" s="1463"/>
      <c r="H34" s="1463"/>
      <c r="I34" s="1463"/>
      <c r="J34" s="1463"/>
    </row>
    <row r="35" spans="1:10" s="859" customFormat="1" ht="37" customHeight="1" x14ac:dyDescent="0.45">
      <c r="A35" s="1462" t="str">
        <f>Traduzioni!G860</f>
        <v>FATTURATO</v>
      </c>
      <c r="B35" s="1462"/>
      <c r="C35" s="1463"/>
      <c r="D35" s="1463"/>
      <c r="E35" s="1463"/>
      <c r="F35" s="1463"/>
      <c r="G35" s="1463"/>
      <c r="H35" s="1463"/>
      <c r="I35" s="1463"/>
      <c r="J35" s="1463"/>
    </row>
    <row r="36" spans="1:10" s="859" customFormat="1" ht="14" customHeight="1" x14ac:dyDescent="0.45">
      <c r="A36" s="867"/>
      <c r="B36" s="867"/>
      <c r="C36" s="868"/>
      <c r="D36" s="868"/>
      <c r="E36" s="868"/>
      <c r="F36" s="868"/>
      <c r="G36" s="868"/>
      <c r="H36" s="868"/>
      <c r="I36" s="868"/>
      <c r="J36" s="868"/>
    </row>
    <row r="37" spans="1:10" s="859" customFormat="1" ht="37" customHeight="1" x14ac:dyDescent="0.45">
      <c r="A37" s="1536" t="str">
        <f>Traduzioni!G784</f>
        <v>Luogo di Rischio principale</v>
      </c>
      <c r="B37" s="1536"/>
      <c r="C37" s="1538"/>
      <c r="D37" s="1538"/>
      <c r="E37" s="1538"/>
      <c r="F37" s="1538"/>
      <c r="G37" s="1538"/>
      <c r="H37" s="1538"/>
      <c r="I37" s="1538"/>
      <c r="J37" s="1538"/>
    </row>
    <row r="38" spans="1:10" s="859" customFormat="1" ht="37" customHeight="1" x14ac:dyDescent="0.45">
      <c r="A38" s="1536" t="str">
        <f>Traduzioni!G785</f>
        <v>Altri luoghi di rischio</v>
      </c>
      <c r="B38" s="1536"/>
      <c r="C38" s="1538"/>
      <c r="D38" s="1538"/>
      <c r="E38" s="1538"/>
      <c r="F38" s="1538"/>
      <c r="G38" s="1538"/>
      <c r="H38" s="1538"/>
      <c r="I38" s="1538"/>
      <c r="J38" s="1538"/>
    </row>
    <row r="39" spans="1:10" s="859" customFormat="1" ht="13.5" customHeight="1" x14ac:dyDescent="0.45">
      <c r="A39" s="867"/>
      <c r="B39" s="867"/>
      <c r="C39" s="868"/>
      <c r="D39" s="868"/>
      <c r="E39" s="868"/>
      <c r="F39" s="868"/>
      <c r="G39" s="868"/>
      <c r="H39" s="868"/>
      <c r="I39" s="868"/>
      <c r="J39" s="868"/>
    </row>
    <row r="40" spans="1:10" ht="37" customHeight="1" x14ac:dyDescent="0.25">
      <c r="A40" s="1545" t="str">
        <f>Traduzioni!G804</f>
        <v>Persone chiave per l'azienda</v>
      </c>
      <c r="B40" s="1545"/>
      <c r="C40" s="1463"/>
      <c r="D40" s="1463"/>
      <c r="E40" s="1463"/>
      <c r="F40" s="1463"/>
      <c r="G40" s="1463"/>
      <c r="H40" s="1463"/>
      <c r="I40" s="1463"/>
      <c r="J40" s="1463"/>
    </row>
    <row r="41" spans="1:10" ht="37" customHeight="1" x14ac:dyDescent="0.25">
      <c r="A41" s="1545" t="str">
        <f>Traduzioni!G805</f>
        <v>Rischio aziendale in caso di decesso persone chiave</v>
      </c>
      <c r="B41" s="1545"/>
      <c r="C41" s="1463"/>
      <c r="D41" s="1463"/>
      <c r="E41" s="1463"/>
      <c r="F41" s="1463"/>
      <c r="G41" s="1463"/>
      <c r="H41" s="1463"/>
      <c r="I41" s="1463"/>
      <c r="J41" s="1463"/>
    </row>
    <row r="42" spans="1:10" ht="37" customHeight="1" x14ac:dyDescent="0.5">
      <c r="A42" s="858" t="str">
        <f>Traduzioni!G786</f>
        <v>Valore dei beni mobili (inventario)</v>
      </c>
      <c r="B42" s="814"/>
    </row>
    <row r="43" spans="1:10" ht="16.5" customHeight="1" x14ac:dyDescent="0.3">
      <c r="A43" s="1532" t="str">
        <f>Traduzioni!G821</f>
        <v>TIPOLOGIA DI BENE</v>
      </c>
      <c r="B43" s="1532"/>
      <c r="C43" s="1532"/>
      <c r="D43" s="1532"/>
      <c r="E43" s="816" t="str">
        <f>Traduzioni!G822</f>
        <v>VALORE</v>
      </c>
      <c r="F43" s="1533" t="str">
        <f>Traduzioni!$G$823</f>
        <v>SPECIFICHE AZIENDALI PER QUESTO RISCHIO</v>
      </c>
      <c r="G43" s="1533"/>
      <c r="H43" s="1533"/>
      <c r="I43" s="1533"/>
      <c r="J43" s="1533"/>
    </row>
    <row r="44" spans="1:10" s="90" customFormat="1" ht="28" customHeight="1" x14ac:dyDescent="0.25">
      <c r="A44" s="1544" t="str">
        <f>Traduzioni!G787</f>
        <v>Merci (prezzo di mercato/prezzo di vendita)</v>
      </c>
      <c r="B44" s="1544"/>
      <c r="C44" s="1544"/>
      <c r="D44" s="1544"/>
      <c r="E44" s="864"/>
      <c r="F44" s="1535"/>
      <c r="G44" s="1535"/>
      <c r="H44" s="1535"/>
      <c r="I44" s="1535"/>
      <c r="J44" s="1535"/>
    </row>
    <row r="45" spans="1:10" s="90" customFormat="1" ht="51.5" customHeight="1" x14ac:dyDescent="0.25">
      <c r="A45" s="1544" t="str">
        <f>Traduzioni!G788</f>
        <v>Merci destinate alla vendita o al consumo: alimenti, materie prime, beni commerciali, materiali vari (imballi, carburanti, coloranti, prodotti chimici, lubrificanti, grassi, benzina, petrolio, ecc.), pezzi singoli, ricambi e componenti</v>
      </c>
      <c r="B45" s="1544"/>
      <c r="C45" s="1544"/>
      <c r="D45" s="1544"/>
      <c r="E45" s="864"/>
      <c r="F45" s="1535"/>
      <c r="G45" s="1535"/>
      <c r="H45" s="1535"/>
      <c r="I45" s="1535"/>
      <c r="J45" s="1535"/>
    </row>
    <row r="46" spans="1:10" s="90" customFormat="1" ht="28" customHeight="1" x14ac:dyDescent="0.25">
      <c r="A46" s="1544" t="str">
        <f>Traduzioni!G789</f>
        <v>Installazioni (valore a nuovo)</v>
      </c>
      <c r="B46" s="1544"/>
      <c r="C46" s="1544"/>
      <c r="D46" s="1544"/>
      <c r="E46" s="864"/>
      <c r="F46" s="1535"/>
      <c r="G46" s="1535"/>
      <c r="H46" s="1535"/>
      <c r="I46" s="1535"/>
      <c r="J46" s="1535"/>
    </row>
    <row r="47" spans="1:10" s="90" customFormat="1" ht="37" customHeight="1" x14ac:dyDescent="0.25">
      <c r="A47" s="1544" t="str">
        <f>Traduzioni!G790</f>
        <v>Arredi, strutture operative e di stoccaggio, scaffalature, mobili, biancheria, stoviglie, bicchieri, posate, illuminazione, mobili da ufficio, armadi, minuteria, inventario generale dell'ufficio</v>
      </c>
      <c r="B47" s="1544"/>
      <c r="C47" s="1544"/>
      <c r="D47" s="1544"/>
      <c r="E47" s="864"/>
      <c r="F47" s="1535"/>
      <c r="G47" s="1535"/>
      <c r="H47" s="1535"/>
      <c r="I47" s="1535"/>
      <c r="J47" s="1535"/>
    </row>
    <row r="48" spans="1:10" s="90" customFormat="1" ht="28" customHeight="1" x14ac:dyDescent="0.25">
      <c r="A48" s="1544" t="str">
        <f>Traduzioni!G791</f>
        <v>Impianti elettronici (valore a nuovo )</v>
      </c>
      <c r="B48" s="1544"/>
      <c r="C48" s="1544"/>
      <c r="D48" s="1544"/>
      <c r="E48" s="864"/>
      <c r="F48" s="1535"/>
      <c r="G48" s="1535"/>
      <c r="H48" s="1535"/>
      <c r="I48" s="1535"/>
      <c r="J48" s="1535"/>
    </row>
    <row r="49" spans="1:10" s="90" customFormat="1" ht="28" customHeight="1" x14ac:dyDescent="0.25">
      <c r="A49" s="1544" t="str">
        <f>Traduzioni!G792</f>
        <v>Dispositivi informatici, dispositivi di archiviazione, linee di alimentazione e dati, fotocopiatrici, stampanti, ecc.</v>
      </c>
      <c r="B49" s="1544"/>
      <c r="C49" s="1544"/>
      <c r="D49" s="1544"/>
      <c r="E49" s="864"/>
      <c r="F49" s="1535"/>
      <c r="G49" s="1535"/>
      <c r="H49" s="1535"/>
      <c r="I49" s="1535"/>
      <c r="J49" s="1535"/>
    </row>
    <row r="50" spans="1:10" s="90" customFormat="1" ht="28" customHeight="1" x14ac:dyDescent="0.25">
      <c r="A50" s="1544" t="str">
        <f>Traduzioni!G793</f>
        <v>Attrezzatura strutturale (valore a nuovo)</v>
      </c>
      <c r="B50" s="1544"/>
      <c r="C50" s="1544"/>
      <c r="D50" s="1544"/>
      <c r="E50" s="864"/>
      <c r="F50" s="1535"/>
      <c r="G50" s="1535"/>
      <c r="H50" s="1535"/>
      <c r="I50" s="1535"/>
      <c r="J50" s="1535"/>
    </row>
    <row r="51" spans="1:10" s="90" customFormat="1" ht="55" customHeight="1" x14ac:dyDescent="0.25">
      <c r="A51" s="1544" t="str">
        <f>Traduzioni!G794</f>
        <v>Attrezzature appartenenti al contraente, da lui installate in qualità di locatario o proprietario, collegate in modo permanente all'edificio, nella misura in cui non siano assicurate o debbano essere assicurate dall'assicurazione stabili, strutture mobili come fabbricati, container, ecc.</v>
      </c>
      <c r="B51" s="1544"/>
      <c r="C51" s="1544"/>
      <c r="D51" s="1544"/>
      <c r="E51" s="864"/>
      <c r="F51" s="1535"/>
      <c r="G51" s="1535"/>
      <c r="H51" s="1535"/>
      <c r="I51" s="1535"/>
      <c r="J51" s="1535"/>
    </row>
    <row r="52" spans="1:10" s="90" customFormat="1" ht="28" customHeight="1" x14ac:dyDescent="0.25">
      <c r="A52" s="1544" t="str">
        <f>Traduzioni!G795</f>
        <v>Macchinari, utensili (valore a nuovo)</v>
      </c>
      <c r="B52" s="1544"/>
      <c r="C52" s="1544"/>
      <c r="D52" s="1544"/>
      <c r="E52" s="864"/>
      <c r="F52" s="1535"/>
      <c r="G52" s="1535"/>
      <c r="H52" s="1535"/>
      <c r="I52" s="1535"/>
      <c r="J52" s="1535"/>
    </row>
    <row r="53" spans="1:10" s="90" customFormat="1" ht="28" customHeight="1" x14ac:dyDescent="0.25">
      <c r="A53" s="1544" t="str">
        <f>Traduzioni!G796</f>
        <v>Macchinari, apparecchi, dispositivi, utensili, strumenti, veicoli a motore aziendali (senza targa)</v>
      </c>
      <c r="B53" s="1544"/>
      <c r="C53" s="1544"/>
      <c r="D53" s="1544"/>
      <c r="E53" s="864"/>
      <c r="F53" s="1535"/>
      <c r="G53" s="1535"/>
      <c r="H53" s="1535"/>
      <c r="I53" s="1535"/>
      <c r="J53" s="1535"/>
    </row>
    <row r="54" spans="1:10" s="90" customFormat="1" ht="28" customHeight="1" x14ac:dyDescent="0.25">
      <c r="A54" s="1544" t="str">
        <f>Traduzioni!G797</f>
        <v>Veicoli in vendita (prezzo d'acquisto)</v>
      </c>
      <c r="B54" s="1544"/>
      <c r="C54" s="1544"/>
      <c r="D54" s="1544"/>
      <c r="E54" s="864"/>
      <c r="F54" s="1535"/>
      <c r="G54" s="1535"/>
      <c r="H54" s="1535"/>
      <c r="I54" s="1535"/>
      <c r="J54" s="1535"/>
    </row>
    <row r="55" spans="1:10" s="90" customFormat="1" ht="28" customHeight="1" x14ac:dyDescent="0.25">
      <c r="A55" s="1544" t="str">
        <f>Traduzioni!G798</f>
        <v>Veicoli a motore nuovi e usati, rimorchi, roulotte, case mobili, barche e aeromobili con accessori offerti in vendita dall'assicurato.</v>
      </c>
      <c r="B55" s="1544"/>
      <c r="C55" s="1544"/>
      <c r="D55" s="1544"/>
      <c r="E55" s="864"/>
      <c r="F55" s="1535"/>
      <c r="G55" s="1535"/>
      <c r="H55" s="1535"/>
      <c r="I55" s="1535"/>
      <c r="J55" s="1535"/>
    </row>
    <row r="56" spans="1:10" s="90" customFormat="1" ht="28" customHeight="1" x14ac:dyDescent="0.25">
      <c r="A56" s="1544" t="str">
        <f>Traduzioni!G799</f>
        <v>Veicoli aziendali non targati (valore corrente)</v>
      </c>
      <c r="B56" s="1544"/>
      <c r="C56" s="1544"/>
      <c r="D56" s="1544"/>
      <c r="E56" s="864"/>
      <c r="F56" s="1535"/>
      <c r="G56" s="1535"/>
      <c r="H56" s="1535"/>
      <c r="I56" s="1535"/>
      <c r="J56" s="1535"/>
    </row>
    <row r="57" spans="1:10" s="90" customFormat="1" ht="28" customHeight="1" x14ac:dyDescent="0.25">
      <c r="A57" s="1544" t="str">
        <f>Traduzioni!G800</f>
        <v>Autoveicoli, rimorchi, macchinari da lavoro semoventi, veicoli elettrici e simili, salvo diversa assicurazione</v>
      </c>
      <c r="B57" s="1544"/>
      <c r="C57" s="1544"/>
      <c r="D57" s="1544"/>
      <c r="E57" s="864"/>
      <c r="F57" s="1535"/>
      <c r="G57" s="1535"/>
      <c r="H57" s="1535"/>
      <c r="I57" s="1535"/>
      <c r="J57" s="1535"/>
    </row>
    <row r="58" spans="1:10" s="90" customFormat="1" ht="28" customHeight="1" x14ac:dyDescent="0.25">
      <c r="A58" s="1544" t="str">
        <f>Traduzioni!G801</f>
        <v>Proprietà di terzi affidata (prezzo di vendita/d’acquisto)</v>
      </c>
      <c r="B58" s="1544"/>
      <c r="C58" s="1544"/>
      <c r="D58" s="1544"/>
      <c r="E58" s="864"/>
      <c r="F58" s="1535"/>
      <c r="G58" s="1535"/>
      <c r="H58" s="1535"/>
      <c r="I58" s="1535"/>
      <c r="J58" s="1535"/>
    </row>
    <row r="59" spans="1:10" s="90" customFormat="1" ht="28" customHeight="1" x14ac:dyDescent="0.25">
      <c r="A59" s="1544" t="str">
        <f>Traduzioni!G802</f>
        <v>Per elaborazione o stoccaggio, leasing o affitto</v>
      </c>
      <c r="B59" s="1544"/>
      <c r="C59" s="1544"/>
      <c r="D59" s="1544"/>
      <c r="E59" s="864"/>
      <c r="F59" s="1535"/>
      <c r="G59" s="1535"/>
      <c r="H59" s="1535"/>
      <c r="I59" s="1535"/>
      <c r="J59" s="1535"/>
    </row>
    <row r="60" spans="1:10" s="90" customFormat="1" ht="28" customHeight="1" x14ac:dyDescent="0.3">
      <c r="A60" s="1546" t="str">
        <f>Traduzioni!G803</f>
        <v>TOTALE VALORE DI ASSICURAZIONE</v>
      </c>
      <c r="B60" s="1546"/>
      <c r="C60" s="1546"/>
      <c r="D60" s="1546"/>
      <c r="E60" s="865"/>
      <c r="F60" s="1535"/>
      <c r="G60" s="1535"/>
      <c r="H60" s="1535"/>
      <c r="I60" s="1535"/>
      <c r="J60" s="1535"/>
    </row>
    <row r="61" spans="1:10" ht="14" hidden="1" customHeight="1" x14ac:dyDescent="0.25"/>
    <row r="62" spans="1:10" ht="37" customHeight="1" x14ac:dyDescent="0.5">
      <c r="A62" s="1464" t="str">
        <f>Traduzioni!G829</f>
        <v>VALORI IMMOBILIARI</v>
      </c>
      <c r="B62" s="1464"/>
      <c r="C62" s="1464"/>
      <c r="D62" s="1464"/>
      <c r="E62" s="1464"/>
      <c r="F62" s="1464"/>
      <c r="G62" s="1464"/>
      <c r="H62" s="1464"/>
      <c r="I62" s="1464"/>
      <c r="J62" s="1464"/>
    </row>
    <row r="63" spans="1:10" ht="14" customHeight="1" x14ac:dyDescent="0.3">
      <c r="A63" s="1470"/>
      <c r="B63" s="1471"/>
      <c r="C63" s="1472" t="str">
        <f>Traduzioni!$G$848&amp;" 1"</f>
        <v>IMMOBILE 1</v>
      </c>
      <c r="D63" s="1473"/>
      <c r="E63" s="1472" t="str">
        <f>Traduzioni!$G$848&amp;" 2"</f>
        <v>IMMOBILE 2</v>
      </c>
      <c r="F63" s="1473"/>
      <c r="G63" s="1472" t="str">
        <f>Traduzioni!$G$848&amp;" 3"</f>
        <v>IMMOBILE 3</v>
      </c>
      <c r="H63" s="1473"/>
      <c r="I63" s="1472" t="str">
        <f>Traduzioni!$G$848&amp;" 4"</f>
        <v>IMMOBILE 4</v>
      </c>
      <c r="J63" s="1473"/>
    </row>
    <row r="64" spans="1:10" ht="28" customHeight="1" x14ac:dyDescent="0.25">
      <c r="A64" s="1465" t="str">
        <f>Traduzioni!G849</f>
        <v>TIPOLOGIA IMMOBILE</v>
      </c>
      <c r="B64" s="1019"/>
      <c r="C64" s="1465"/>
      <c r="D64" s="1019"/>
      <c r="E64" s="1466"/>
      <c r="F64" s="1467"/>
      <c r="G64" s="1468"/>
      <c r="H64" s="1469"/>
      <c r="I64" s="1468"/>
      <c r="J64" s="1469"/>
    </row>
    <row r="65" spans="1:10" ht="28" customHeight="1" x14ac:dyDescent="0.25">
      <c r="A65" s="1465" t="str">
        <f>Traduzioni!G850</f>
        <v>OBIETTIVI E UTILIZZI</v>
      </c>
      <c r="B65" s="1019"/>
      <c r="C65" s="1465"/>
      <c r="D65" s="1019"/>
      <c r="E65" s="1466"/>
      <c r="F65" s="1467"/>
      <c r="G65" s="1468"/>
      <c r="H65" s="1469"/>
      <c r="I65" s="1468"/>
      <c r="J65" s="1469"/>
    </row>
    <row r="66" spans="1:10" ht="28" customHeight="1" x14ac:dyDescent="0.25">
      <c r="A66" s="1465" t="str">
        <f>Traduzioni!G851</f>
        <v>VALORE COMMERCIALE</v>
      </c>
      <c r="B66" s="1019"/>
      <c r="C66" s="1465"/>
      <c r="D66" s="1019"/>
      <c r="E66" s="1466"/>
      <c r="F66" s="1467"/>
      <c r="G66" s="1468"/>
      <c r="H66" s="1469"/>
      <c r="I66" s="1468"/>
      <c r="J66" s="1469"/>
    </row>
    <row r="67" spans="1:10" ht="28" customHeight="1" x14ac:dyDescent="0.25">
      <c r="A67" s="1465" t="str">
        <f>Traduzioni!G852</f>
        <v>DEBITO IPOTECA</v>
      </c>
      <c r="B67" s="1019"/>
      <c r="C67" s="1465"/>
      <c r="D67" s="1019"/>
      <c r="E67" s="1466"/>
      <c r="F67" s="1467"/>
      <c r="G67" s="1468"/>
      <c r="H67" s="1469"/>
      <c r="I67" s="1468"/>
      <c r="J67" s="1469"/>
    </row>
    <row r="68" spans="1:10" ht="28" customHeight="1" x14ac:dyDescent="0.25">
      <c r="A68" s="1465" t="str">
        <f>Traduzioni!G853</f>
        <v>TIPO AMMORTAMENTO</v>
      </c>
      <c r="B68" s="1019"/>
      <c r="C68" s="1465"/>
      <c r="D68" s="1019"/>
      <c r="E68" s="1466"/>
      <c r="F68" s="1467"/>
      <c r="G68" s="1468"/>
      <c r="H68" s="1469"/>
      <c r="I68" s="1468"/>
      <c r="J68" s="1469"/>
    </row>
    <row r="69" spans="1:10" ht="28" customHeight="1" x14ac:dyDescent="0.25">
      <c r="A69" s="1465" t="str">
        <f>Traduzioni!G854</f>
        <v>ISTITUTO DI CREDITO</v>
      </c>
      <c r="B69" s="1019"/>
      <c r="C69" s="1465"/>
      <c r="D69" s="1019"/>
      <c r="E69" s="1466"/>
      <c r="F69" s="1467"/>
      <c r="G69" s="1468"/>
      <c r="H69" s="1469"/>
      <c r="I69" s="1468"/>
      <c r="J69" s="1469"/>
    </row>
    <row r="70" spans="1:10" ht="28" customHeight="1" x14ac:dyDescent="0.25">
      <c r="A70" s="1465" t="str">
        <f>Traduzioni!G855</f>
        <v>SCADENZA CONTRATTO</v>
      </c>
      <c r="B70" s="1019"/>
      <c r="C70" s="1465"/>
      <c r="D70" s="1019"/>
      <c r="E70" s="1466"/>
      <c r="F70" s="1467"/>
      <c r="G70" s="1468"/>
      <c r="H70" s="1469"/>
      <c r="I70" s="1468"/>
      <c r="J70" s="1469"/>
    </row>
    <row r="71" spans="1:10" ht="37" customHeight="1" x14ac:dyDescent="0.5">
      <c r="A71" s="1464" t="str">
        <f>Traduzioni!G834</f>
        <v>FLOTTA VEICOLI</v>
      </c>
      <c r="B71" s="1464"/>
      <c r="C71" s="1464"/>
      <c r="D71" s="1464"/>
      <c r="E71" s="1464"/>
      <c r="F71" s="1464"/>
      <c r="G71" s="1464"/>
      <c r="H71" s="1464"/>
      <c r="I71" s="1464"/>
      <c r="J71" s="1464"/>
    </row>
    <row r="72" spans="1:10" ht="14" customHeight="1" x14ac:dyDescent="0.3">
      <c r="A72" s="1470"/>
      <c r="B72" s="1471"/>
      <c r="C72" s="1472" t="str">
        <f>Traduzioni!$G$846&amp;" 1"</f>
        <v>VEICOLO 1</v>
      </c>
      <c r="D72" s="1473"/>
      <c r="E72" s="1480" t="str">
        <f>Traduzioni!$G$846&amp;" 2"</f>
        <v>VEICOLO 2</v>
      </c>
      <c r="F72" s="1481"/>
      <c r="G72" s="1480" t="str">
        <f>Traduzioni!$G$846&amp;" 3"</f>
        <v>VEICOLO 3</v>
      </c>
      <c r="H72" s="1481"/>
      <c r="I72" s="1480" t="str">
        <f>Traduzioni!$G$846&amp;" 4"</f>
        <v>VEICOLO 4</v>
      </c>
      <c r="J72" s="1481"/>
    </row>
    <row r="73" spans="1:10" ht="28" customHeight="1" x14ac:dyDescent="0.25">
      <c r="A73" s="1474" t="str">
        <f>Traduzioni!G835</f>
        <v>TIPOLOGIA DI VEICOLO</v>
      </c>
      <c r="B73" s="1475"/>
      <c r="C73" s="1474"/>
      <c r="D73" s="1475"/>
      <c r="E73" s="1476"/>
      <c r="F73" s="1477"/>
      <c r="G73" s="1478"/>
      <c r="H73" s="1479"/>
      <c r="I73" s="1478"/>
      <c r="J73" s="1479"/>
    </row>
    <row r="74" spans="1:10" ht="28" customHeight="1" x14ac:dyDescent="0.25">
      <c r="A74" s="1474" t="str">
        <f>Traduzioni!G836</f>
        <v>TIPOLOGIA UTILIZZO</v>
      </c>
      <c r="B74" s="1475"/>
      <c r="C74" s="1474"/>
      <c r="D74" s="1475"/>
      <c r="E74" s="1476"/>
      <c r="F74" s="1477"/>
      <c r="G74" s="1478"/>
      <c r="H74" s="1479"/>
      <c r="I74" s="1478"/>
      <c r="J74" s="1479"/>
    </row>
    <row r="75" spans="1:10" ht="28" customHeight="1" x14ac:dyDescent="0.25">
      <c r="A75" s="1474" t="str">
        <f>Traduzioni!G837&amp;" / "&amp;Traduzioni!G838</f>
        <v>TARGATO / NON TARGATO</v>
      </c>
      <c r="B75" s="1475"/>
      <c r="C75" s="1474"/>
      <c r="D75" s="1475"/>
      <c r="E75" s="1474"/>
      <c r="F75" s="1475"/>
      <c r="G75" s="1474"/>
      <c r="H75" s="1475"/>
      <c r="I75" s="1474"/>
      <c r="J75" s="1475"/>
    </row>
    <row r="76" spans="1:10" ht="28" customHeight="1" x14ac:dyDescent="0.25">
      <c r="A76" s="1474" t="str">
        <f>Traduzioni!G839</f>
        <v>MARCA E MODELLO</v>
      </c>
      <c r="B76" s="1475"/>
      <c r="C76" s="1474"/>
      <c r="D76" s="1475"/>
      <c r="E76" s="1476"/>
      <c r="F76" s="1477"/>
      <c r="G76" s="1478"/>
      <c r="H76" s="1479"/>
      <c r="I76" s="1478"/>
      <c r="J76" s="1479"/>
    </row>
    <row r="77" spans="1:10" ht="28" customHeight="1" x14ac:dyDescent="0.25">
      <c r="A77" s="1474" t="str">
        <f>Traduzioni!G840</f>
        <v>CERTIFICATO TIPO</v>
      </c>
      <c r="B77" s="1475"/>
      <c r="C77" s="1474"/>
      <c r="D77" s="1475"/>
      <c r="E77" s="1476"/>
      <c r="F77" s="1477"/>
      <c r="G77" s="1478"/>
      <c r="H77" s="1479"/>
      <c r="I77" s="1478"/>
      <c r="J77" s="1479"/>
    </row>
    <row r="78" spans="1:10" ht="28" customHeight="1" x14ac:dyDescent="0.25">
      <c r="A78" s="1474" t="str">
        <f>Traduzioni!G841</f>
        <v>MATRICOLA</v>
      </c>
      <c r="B78" s="1475"/>
      <c r="C78" s="1474"/>
      <c r="D78" s="1475"/>
      <c r="E78" s="1476"/>
      <c r="F78" s="1477"/>
      <c r="G78" s="1478"/>
      <c r="H78" s="1479"/>
      <c r="I78" s="1478"/>
      <c r="J78" s="1479"/>
    </row>
    <row r="79" spans="1:10" ht="28" customHeight="1" x14ac:dyDescent="0.25">
      <c r="A79" s="1474" t="str">
        <f>Traduzioni!G842</f>
        <v>PRIMA MESSA IN CIRCOLAZIONE</v>
      </c>
      <c r="B79" s="1475"/>
      <c r="C79" s="1474"/>
      <c r="D79" s="1475"/>
      <c r="E79" s="1476"/>
      <c r="F79" s="1477"/>
      <c r="G79" s="1478"/>
      <c r="H79" s="1479"/>
      <c r="I79" s="1478"/>
      <c r="J79" s="1479"/>
    </row>
    <row r="80" spans="1:10" ht="28" customHeight="1" x14ac:dyDescent="0.25">
      <c r="A80" s="1474" t="str">
        <f>Traduzioni!G843</f>
        <v>KM ANNO</v>
      </c>
      <c r="B80" s="1475"/>
      <c r="C80" s="1474"/>
      <c r="D80" s="1475"/>
      <c r="E80" s="1476"/>
      <c r="F80" s="1477"/>
      <c r="G80" s="1478"/>
      <c r="H80" s="1479"/>
      <c r="I80" s="1478"/>
      <c r="J80" s="1479"/>
    </row>
    <row r="81" spans="1:11" ht="28" customHeight="1" x14ac:dyDescent="0.25">
      <c r="A81" s="1474" t="str">
        <f>Traduzioni!G844</f>
        <v>COPERTURA ATTUALE</v>
      </c>
      <c r="B81" s="1475"/>
      <c r="C81" s="1474"/>
      <c r="D81" s="1475"/>
      <c r="E81" s="1476"/>
      <c r="F81" s="1477"/>
      <c r="G81" s="1478"/>
      <c r="H81" s="1479"/>
      <c r="I81" s="1478"/>
      <c r="J81" s="1479"/>
    </row>
    <row r="82" spans="1:11" ht="28" customHeight="1" x14ac:dyDescent="0.25">
      <c r="A82" s="1474" t="str">
        <f>Traduzioni!G845</f>
        <v>COPERTURA DESIDERATA</v>
      </c>
      <c r="B82" s="1475"/>
      <c r="C82" s="1474"/>
      <c r="D82" s="1475"/>
      <c r="E82" s="1476"/>
      <c r="F82" s="1477"/>
      <c r="G82" s="1478"/>
      <c r="H82" s="1479"/>
      <c r="I82" s="1478"/>
      <c r="J82" s="1479"/>
    </row>
    <row r="83" spans="1:11" ht="16" customHeight="1" x14ac:dyDescent="0.25"/>
    <row r="84" spans="1:11" ht="16" customHeight="1" x14ac:dyDescent="0.25"/>
    <row r="85" spans="1:11" ht="16" customHeight="1" thickBot="1" x14ac:dyDescent="0.3"/>
    <row r="86" spans="1:11" ht="15.5" x14ac:dyDescent="0.35">
      <c r="A86" s="1490"/>
      <c r="B86" s="1491"/>
      <c r="C86" s="1272" t="str">
        <f>Traduzioni!$G$486</f>
        <v>Calcolo per</v>
      </c>
      <c r="D86" s="1528"/>
      <c r="E86" s="1264" t="str">
        <f>Traduzioni!G826&amp;" "&amp;Traduzioni!G825</f>
        <v>PMI  COPERTURE ESISTENTI E DESIDERATE</v>
      </c>
      <c r="F86" s="1264"/>
      <c r="G86" s="1264"/>
      <c r="H86" s="1264"/>
      <c r="I86" s="1264"/>
      <c r="J86" s="1268"/>
      <c r="K86" s="591"/>
    </row>
    <row r="87" spans="1:11" ht="15.5" x14ac:dyDescent="0.35">
      <c r="A87" s="1492"/>
      <c r="B87" s="1249"/>
      <c r="C87" s="552" t="str">
        <f>'RENDITE CLIENTE'!$A$2</f>
        <v>Calcolo effettuato da:</v>
      </c>
      <c r="D87" s="788"/>
      <c r="E87" s="1257" t="str">
        <f>ANALYSIS!$B$3&amp;" - "&amp;'RENDITE CLIENTE'!$B$2</f>
        <v xml:space="preserve"> - NeoLife AG</v>
      </c>
      <c r="F87" s="1257"/>
      <c r="G87" s="1257"/>
      <c r="H87" s="1257"/>
      <c r="I87" s="1257"/>
      <c r="J87" s="1258"/>
      <c r="K87" s="591"/>
    </row>
    <row r="88" spans="1:11" ht="15.5" x14ac:dyDescent="0.35">
      <c r="A88" s="1492"/>
      <c r="B88" s="1249"/>
      <c r="C88" s="552" t="str">
        <f>'RENDITE CLIENTE'!$A$3</f>
        <v>Parametri di calcolo:</v>
      </c>
      <c r="D88" s="788"/>
      <c r="E88" s="1257" t="str">
        <f>Traduzioni!G295</f>
        <v xml:space="preserve">Info fornite da: </v>
      </c>
      <c r="F88" s="1257"/>
      <c r="G88" s="1257"/>
      <c r="H88" s="1257"/>
      <c r="I88" s="1257"/>
      <c r="J88" s="1258"/>
      <c r="K88" s="591"/>
    </row>
    <row r="89" spans="1:11" ht="16" thickBot="1" x14ac:dyDescent="0.4">
      <c r="A89" s="1493"/>
      <c r="B89" s="1494"/>
      <c r="C89" s="1529" t="str">
        <f>'RENDITE CLIENTE'!$A$4</f>
        <v>Calcolo del:</v>
      </c>
      <c r="D89" s="1530"/>
      <c r="E89" s="1261">
        <f ca="1">'RENDITE CLIENTE'!$B$4</f>
        <v>45680.292758449075</v>
      </c>
      <c r="F89" s="1261"/>
      <c r="G89" s="1261"/>
      <c r="H89" s="1261"/>
      <c r="I89" s="1261"/>
      <c r="J89" s="1262"/>
      <c r="K89" s="782"/>
    </row>
    <row r="90" spans="1:11" ht="13" thickBot="1" x14ac:dyDescent="0.3"/>
    <row r="91" spans="1:11" s="785" customFormat="1" ht="38.5" customHeight="1" thickBot="1" x14ac:dyDescent="0.35">
      <c r="A91" s="817" t="str">
        <f>Traduzioni!G702</f>
        <v>Tipologia di rischio</v>
      </c>
      <c r="B91" s="818" t="str">
        <f>Traduzioni!G703</f>
        <v>Copertura assicurata</v>
      </c>
      <c r="C91" s="819" t="str">
        <f>Traduzioni!G704</f>
        <v>Rischio Max.</v>
      </c>
      <c r="D91" s="818" t="str">
        <f>Traduzioni!G705</f>
        <v>Compagnia ATTUALE</v>
      </c>
      <c r="E91" s="819" t="str">
        <f>Traduzioni!G706</f>
        <v>Polizza N.</v>
      </c>
      <c r="F91" s="819" t="str">
        <f>Traduzioni!G707</f>
        <v>scadenza</v>
      </c>
      <c r="G91" s="838" t="str">
        <f>Traduzioni!G708</f>
        <v>Somma ass. ATTUALE</v>
      </c>
      <c r="H91" s="848" t="str">
        <f>Traduzioni!G709</f>
        <v>Somma ass. PROPOSTA</v>
      </c>
      <c r="I91" s="838" t="str">
        <f>Traduzioni!G710</f>
        <v>Premio annuo ATTUALE</v>
      </c>
      <c r="J91" s="855" t="str">
        <f>Traduzioni!G711</f>
        <v>Premio annuo PROPOSTO</v>
      </c>
    </row>
    <row r="92" spans="1:11" ht="13" thickBot="1" x14ac:dyDescent="0.3">
      <c r="A92" s="1512" t="str">
        <f>Traduzioni!G712</f>
        <v>Stabili</v>
      </c>
      <c r="B92" s="822" t="str">
        <f>Traduzioni!G715</f>
        <v>Incendio/Natura</v>
      </c>
      <c r="C92" s="823">
        <v>500000</v>
      </c>
      <c r="D92" s="824" t="s">
        <v>3713</v>
      </c>
      <c r="E92" s="1518" t="s">
        <v>3714</v>
      </c>
      <c r="F92" s="1523"/>
      <c r="G92" s="839">
        <v>100000</v>
      </c>
      <c r="H92" s="849">
        <f>C92</f>
        <v>500000</v>
      </c>
      <c r="I92" s="1509">
        <v>1000</v>
      </c>
      <c r="J92" s="1506">
        <v>1200</v>
      </c>
    </row>
    <row r="93" spans="1:11" ht="13" thickBot="1" x14ac:dyDescent="0.3">
      <c r="A93" s="1513"/>
      <c r="B93" s="822" t="str">
        <f>Traduzioni!G716</f>
        <v>Danni acque</v>
      </c>
      <c r="C93" s="826">
        <f>IF(C92=0,0,C92)</f>
        <v>500000</v>
      </c>
      <c r="D93" s="827" t="s">
        <v>3713</v>
      </c>
      <c r="E93" s="1522"/>
      <c r="F93" s="1524"/>
      <c r="G93" s="840">
        <f>IF(G92=0,0,G92)</f>
        <v>100000</v>
      </c>
      <c r="H93" s="850">
        <f>C93</f>
        <v>500000</v>
      </c>
      <c r="I93" s="1510"/>
      <c r="J93" s="1507"/>
    </row>
    <row r="94" spans="1:11" ht="13" thickBot="1" x14ac:dyDescent="0.3">
      <c r="A94" s="1513"/>
      <c r="B94" s="822" t="str">
        <f>Traduzioni!G717</f>
        <v>Rottura vetri</v>
      </c>
      <c r="C94" s="829">
        <v>10000</v>
      </c>
      <c r="D94" s="827" t="s">
        <v>3713</v>
      </c>
      <c r="E94" s="1522"/>
      <c r="F94" s="1524"/>
      <c r="G94" s="841">
        <v>5000</v>
      </c>
      <c r="H94" s="851">
        <f>C94</f>
        <v>10000</v>
      </c>
      <c r="I94" s="1510"/>
      <c r="J94" s="1507"/>
    </row>
    <row r="95" spans="1:11" ht="13" thickBot="1" x14ac:dyDescent="0.3">
      <c r="A95" s="1514"/>
      <c r="B95" s="822" t="str">
        <f>Traduzioni!G718</f>
        <v>Furto</v>
      </c>
      <c r="C95" s="830">
        <v>20000</v>
      </c>
      <c r="D95" s="831" t="s">
        <v>3713</v>
      </c>
      <c r="E95" s="1519"/>
      <c r="F95" s="1525"/>
      <c r="G95" s="842">
        <v>10000</v>
      </c>
      <c r="H95" s="852">
        <v>20000</v>
      </c>
      <c r="I95" s="1511"/>
      <c r="J95" s="1508"/>
    </row>
    <row r="96" spans="1:11" ht="13" thickBot="1" x14ac:dyDescent="0.3">
      <c r="A96" s="1512" t="str">
        <f>Traduzioni!G713</f>
        <v>Beni mobili</v>
      </c>
      <c r="B96" s="822" t="str">
        <f>Traduzioni!G719</f>
        <v>Incendio/Natura</v>
      </c>
      <c r="C96" s="833">
        <f>IF(C100=0,0,C100)</f>
        <v>50000</v>
      </c>
      <c r="D96" s="824" t="s">
        <v>3713</v>
      </c>
      <c r="E96" s="1518" t="s">
        <v>3716</v>
      </c>
      <c r="F96" s="1520">
        <v>43401</v>
      </c>
      <c r="G96" s="843">
        <v>40000</v>
      </c>
      <c r="H96" s="853">
        <f t="shared" ref="H96:H106" si="0">C96</f>
        <v>50000</v>
      </c>
      <c r="I96" s="1509">
        <v>3500</v>
      </c>
      <c r="J96" s="1506">
        <v>3200</v>
      </c>
    </row>
    <row r="97" spans="1:10" ht="13" thickBot="1" x14ac:dyDescent="0.3">
      <c r="A97" s="1513"/>
      <c r="B97" s="822" t="str">
        <f>Traduzioni!G720</f>
        <v>Danni acque</v>
      </c>
      <c r="C97" s="826">
        <f>IF(C96=0,0,C96)</f>
        <v>50000</v>
      </c>
      <c r="D97" s="827" t="s">
        <v>3713</v>
      </c>
      <c r="E97" s="1522"/>
      <c r="F97" s="1549"/>
      <c r="G97" s="840">
        <f>IF(G96=0,0,G96)</f>
        <v>40000</v>
      </c>
      <c r="H97" s="851">
        <f t="shared" si="0"/>
        <v>50000</v>
      </c>
      <c r="I97" s="1510"/>
      <c r="J97" s="1507"/>
    </row>
    <row r="98" spans="1:10" ht="13" thickBot="1" x14ac:dyDescent="0.3">
      <c r="A98" s="1513"/>
      <c r="B98" s="822" t="str">
        <f>Traduzioni!G721</f>
        <v>Rottura vetri</v>
      </c>
      <c r="C98" s="829">
        <v>5000</v>
      </c>
      <c r="D98" s="827" t="s">
        <v>3713</v>
      </c>
      <c r="E98" s="1522"/>
      <c r="F98" s="1549"/>
      <c r="G98" s="841">
        <v>5000</v>
      </c>
      <c r="H98" s="851">
        <f t="shared" si="0"/>
        <v>5000</v>
      </c>
      <c r="I98" s="1510"/>
      <c r="J98" s="1507"/>
    </row>
    <row r="99" spans="1:10" ht="13" thickBot="1" x14ac:dyDescent="0.3">
      <c r="A99" s="1513"/>
      <c r="B99" s="822" t="str">
        <f>Traduzioni!G722</f>
        <v>Furto</v>
      </c>
      <c r="C99" s="829">
        <v>20000</v>
      </c>
      <c r="D99" s="827" t="s">
        <v>3713</v>
      </c>
      <c r="E99" s="1522"/>
      <c r="F99" s="1549"/>
      <c r="G99" s="841">
        <v>20000</v>
      </c>
      <c r="H99" s="851">
        <f t="shared" si="0"/>
        <v>20000</v>
      </c>
      <c r="I99" s="1510"/>
      <c r="J99" s="1507"/>
    </row>
    <row r="100" spans="1:10" ht="13" thickBot="1" x14ac:dyDescent="0.3">
      <c r="A100" s="1513"/>
      <c r="B100" s="822" t="str">
        <f>Traduzioni!G723</f>
        <v>Perdita di esercizio</v>
      </c>
      <c r="C100" s="829">
        <v>50000</v>
      </c>
      <c r="D100" s="827" t="s">
        <v>3713</v>
      </c>
      <c r="E100" s="1522"/>
      <c r="F100" s="1549"/>
      <c r="G100" s="841">
        <v>50000</v>
      </c>
      <c r="H100" s="851">
        <f>C100</f>
        <v>50000</v>
      </c>
      <c r="I100" s="1510"/>
      <c r="J100" s="1507"/>
    </row>
    <row r="101" spans="1:10" ht="13" thickBot="1" x14ac:dyDescent="0.3">
      <c r="A101" s="1514"/>
      <c r="B101" s="822" t="str">
        <f>Traduzioni!G724</f>
        <v>Danni di ripercussione</v>
      </c>
      <c r="C101" s="830">
        <v>100000</v>
      </c>
      <c r="D101" s="831" t="s">
        <v>3713</v>
      </c>
      <c r="E101" s="1519"/>
      <c r="F101" s="1521"/>
      <c r="G101" s="842">
        <v>100000</v>
      </c>
      <c r="H101" s="852">
        <f t="shared" si="0"/>
        <v>100000</v>
      </c>
      <c r="I101" s="1511"/>
      <c r="J101" s="1508"/>
    </row>
    <row r="102" spans="1:10" ht="13" thickBot="1" x14ac:dyDescent="0.3">
      <c r="A102" s="1512" t="str">
        <f>Traduzioni!G747</f>
        <v>Trasp.</v>
      </c>
      <c r="B102" s="822" t="str">
        <f>Traduzioni!G725</f>
        <v>Trasporti(Cose)</v>
      </c>
      <c r="C102" s="823"/>
      <c r="D102" s="824" t="s">
        <v>3713</v>
      </c>
      <c r="E102" s="1518"/>
      <c r="F102" s="1520"/>
      <c r="G102" s="839"/>
      <c r="H102" s="849"/>
      <c r="I102" s="1515"/>
      <c r="J102" s="1526"/>
    </row>
    <row r="103" spans="1:10" ht="13" thickBot="1" x14ac:dyDescent="0.3">
      <c r="A103" s="1514"/>
      <c r="B103" s="822" t="str">
        <f>Traduzioni!G726</f>
        <v>Trasporti (RC)</v>
      </c>
      <c r="C103" s="830"/>
      <c r="D103" s="831" t="s">
        <v>3713</v>
      </c>
      <c r="E103" s="1519"/>
      <c r="F103" s="1521"/>
      <c r="G103" s="842"/>
      <c r="H103" s="852"/>
      <c r="I103" s="1517"/>
      <c r="J103" s="1527"/>
    </row>
    <row r="104" spans="1:10" ht="13" thickBot="1" x14ac:dyDescent="0.3">
      <c r="A104" s="1512" t="str">
        <f>Traduzioni!G748</f>
        <v>Responsabilità Civile</v>
      </c>
      <c r="B104" s="822" t="str">
        <f>Traduzioni!G727</f>
        <v>Impresa</v>
      </c>
      <c r="C104" s="823">
        <v>1000000</v>
      </c>
      <c r="D104" s="824" t="s">
        <v>3713</v>
      </c>
      <c r="E104" s="1518" t="s">
        <v>3719</v>
      </c>
      <c r="F104" s="1520">
        <v>43401</v>
      </c>
      <c r="G104" s="839">
        <v>1000000</v>
      </c>
      <c r="H104" s="849">
        <f t="shared" si="0"/>
        <v>1000000</v>
      </c>
      <c r="I104" s="1515">
        <v>200</v>
      </c>
      <c r="J104" s="1526">
        <v>200</v>
      </c>
    </row>
    <row r="105" spans="1:10" ht="13" thickBot="1" x14ac:dyDescent="0.3">
      <c r="A105" s="1513"/>
      <c r="B105" s="822" t="str">
        <f>Traduzioni!G728</f>
        <v>Professionale</v>
      </c>
      <c r="C105" s="829"/>
      <c r="D105" s="827" t="s">
        <v>3713</v>
      </c>
      <c r="E105" s="1522"/>
      <c r="F105" s="1549"/>
      <c r="G105" s="841"/>
      <c r="H105" s="851"/>
      <c r="I105" s="1516"/>
      <c r="J105" s="1550"/>
    </row>
    <row r="106" spans="1:10" ht="13" thickBot="1" x14ac:dyDescent="0.3">
      <c r="A106" s="1514"/>
      <c r="B106" s="822" t="str">
        <f>Traduzioni!G729</f>
        <v>Stabile</v>
      </c>
      <c r="C106" s="830">
        <v>1000000</v>
      </c>
      <c r="D106" s="831" t="s">
        <v>3713</v>
      </c>
      <c r="E106" s="1519"/>
      <c r="F106" s="1521"/>
      <c r="G106" s="842"/>
      <c r="H106" s="852">
        <f t="shared" si="0"/>
        <v>1000000</v>
      </c>
      <c r="I106" s="1517"/>
      <c r="J106" s="1527"/>
    </row>
    <row r="107" spans="1:10" ht="13" thickBot="1" x14ac:dyDescent="0.3">
      <c r="A107" s="1512" t="str">
        <f>Traduzioni!G749</f>
        <v>Protezione Giuridica</v>
      </c>
      <c r="B107" s="822" t="str">
        <f>Traduzioni!G730</f>
        <v>Extracontrattuale</v>
      </c>
      <c r="C107" s="823">
        <v>250000</v>
      </c>
      <c r="D107" s="824" t="s">
        <v>3713</v>
      </c>
      <c r="E107" s="1518"/>
      <c r="F107" s="1520"/>
      <c r="G107" s="839"/>
      <c r="H107" s="849">
        <v>250000</v>
      </c>
      <c r="I107" s="1515"/>
      <c r="J107" s="1526">
        <v>1000</v>
      </c>
    </row>
    <row r="108" spans="1:10" ht="13" thickBot="1" x14ac:dyDescent="0.3">
      <c r="A108" s="1514"/>
      <c r="B108" s="822" t="str">
        <f>Traduzioni!G731</f>
        <v>Contrattuale</v>
      </c>
      <c r="C108" s="834">
        <f>IF(C107=0,0,C107)</f>
        <v>250000</v>
      </c>
      <c r="D108" s="831" t="s">
        <v>3713</v>
      </c>
      <c r="E108" s="1519"/>
      <c r="F108" s="1521"/>
      <c r="G108" s="844">
        <f>IF(G107=0,0,G107)</f>
        <v>0</v>
      </c>
      <c r="H108" s="852">
        <f t="shared" ref="H108:H119" si="1">C108</f>
        <v>250000</v>
      </c>
      <c r="I108" s="1517"/>
      <c r="J108" s="1527"/>
    </row>
    <row r="109" spans="1:10" ht="13" thickBot="1" x14ac:dyDescent="0.3">
      <c r="A109" s="1512" t="str">
        <f>Traduzioni!G750</f>
        <v>Dirigenti/soci</v>
      </c>
      <c r="B109" s="822" t="str">
        <f>Traduzioni!G732</f>
        <v>Decesso</v>
      </c>
      <c r="C109" s="823">
        <v>200000</v>
      </c>
      <c r="D109" s="824" t="s">
        <v>3713</v>
      </c>
      <c r="E109" s="1518" t="s">
        <v>3725</v>
      </c>
      <c r="F109" s="1520"/>
      <c r="G109" s="839"/>
      <c r="H109" s="849">
        <f t="shared" si="1"/>
        <v>200000</v>
      </c>
      <c r="I109" s="1515">
        <v>0</v>
      </c>
      <c r="J109" s="1526">
        <v>2000</v>
      </c>
    </row>
    <row r="110" spans="1:10" ht="13" thickBot="1" x14ac:dyDescent="0.3">
      <c r="A110" s="1514"/>
      <c r="B110" s="822" t="str">
        <f>Traduzioni!G733</f>
        <v>Invalidità</v>
      </c>
      <c r="C110" s="834">
        <f>IF(C109=0,0,C109)</f>
        <v>200000</v>
      </c>
      <c r="D110" s="831" t="s">
        <v>3713</v>
      </c>
      <c r="E110" s="1519"/>
      <c r="F110" s="1521"/>
      <c r="G110" s="844">
        <f>IF(G109=0,0,G109)</f>
        <v>0</v>
      </c>
      <c r="H110" s="852">
        <v>200000</v>
      </c>
      <c r="I110" s="1517"/>
      <c r="J110" s="1527"/>
    </row>
    <row r="111" spans="1:10" ht="13" thickBot="1" x14ac:dyDescent="0.3">
      <c r="A111" s="1512" t="str">
        <f>Traduzioni!G751</f>
        <v>Personale</v>
      </c>
      <c r="B111" s="822" t="str">
        <f>Traduzioni!G734</f>
        <v>Lanif</v>
      </c>
      <c r="C111" s="823">
        <v>40000</v>
      </c>
      <c r="D111" s="824" t="s">
        <v>3713</v>
      </c>
      <c r="E111" s="1518" t="s">
        <v>3729</v>
      </c>
      <c r="F111" s="825"/>
      <c r="G111" s="839">
        <v>40000</v>
      </c>
      <c r="H111" s="849">
        <f t="shared" si="1"/>
        <v>40000</v>
      </c>
      <c r="I111" s="1509">
        <v>1500</v>
      </c>
      <c r="J111" s="1506">
        <v>1600</v>
      </c>
    </row>
    <row r="112" spans="1:10" ht="13" thickBot="1" x14ac:dyDescent="0.3">
      <c r="A112" s="1513"/>
      <c r="B112" s="822" t="str">
        <f>Traduzioni!G735</f>
        <v>Compl.Lainf</v>
      </c>
      <c r="C112" s="826">
        <f>IF(C111=0,0,C111)</f>
        <v>40000</v>
      </c>
      <c r="D112" s="827" t="s">
        <v>3713</v>
      </c>
      <c r="E112" s="1522"/>
      <c r="F112" s="828"/>
      <c r="G112" s="844">
        <f t="shared" ref="G112:H114" si="2">IF(G111=0,0,G111)</f>
        <v>40000</v>
      </c>
      <c r="H112" s="854">
        <f t="shared" si="2"/>
        <v>40000</v>
      </c>
      <c r="I112" s="1510"/>
      <c r="J112" s="1507"/>
    </row>
    <row r="113" spans="1:10" ht="13" thickBot="1" x14ac:dyDescent="0.3">
      <c r="A113" s="1513"/>
      <c r="B113" s="822" t="str">
        <f>Traduzioni!G736</f>
        <v>P.G. Malattia</v>
      </c>
      <c r="C113" s="826">
        <f>IF(C112=0,0,C112)</f>
        <v>40000</v>
      </c>
      <c r="D113" s="827" t="s">
        <v>3713</v>
      </c>
      <c r="E113" s="1522"/>
      <c r="F113" s="828">
        <v>43401</v>
      </c>
      <c r="G113" s="844">
        <f t="shared" si="2"/>
        <v>40000</v>
      </c>
      <c r="H113" s="854">
        <f t="shared" si="2"/>
        <v>40000</v>
      </c>
      <c r="I113" s="1510"/>
      <c r="J113" s="1507"/>
    </row>
    <row r="114" spans="1:10" ht="13" thickBot="1" x14ac:dyDescent="0.3">
      <c r="A114" s="1514"/>
      <c r="B114" s="822" t="str">
        <f>Traduzioni!G737</f>
        <v>LPP</v>
      </c>
      <c r="C114" s="834">
        <f>IF(C113=0,0,C113)</f>
        <v>40000</v>
      </c>
      <c r="D114" s="831" t="s">
        <v>3713</v>
      </c>
      <c r="E114" s="1519"/>
      <c r="F114" s="832"/>
      <c r="G114" s="844">
        <f t="shared" si="2"/>
        <v>40000</v>
      </c>
      <c r="H114" s="854">
        <f t="shared" si="2"/>
        <v>40000</v>
      </c>
      <c r="I114" s="1511"/>
      <c r="J114" s="1508"/>
    </row>
    <row r="115" spans="1:10" ht="12.75" customHeight="1" thickBot="1" x14ac:dyDescent="0.3">
      <c r="A115" s="1503" t="str">
        <f>Traduzioni!G752</f>
        <v>Assicurazioni tecniche</v>
      </c>
      <c r="B115" s="822" t="str">
        <f>Traduzioni!G738</f>
        <v>Macchine</v>
      </c>
      <c r="C115" s="823">
        <v>60000</v>
      </c>
      <c r="D115" s="824" t="s">
        <v>3713</v>
      </c>
      <c r="E115" s="835"/>
      <c r="F115" s="825"/>
      <c r="G115" s="839"/>
      <c r="H115" s="849">
        <f t="shared" si="1"/>
        <v>60000</v>
      </c>
      <c r="I115" s="1509">
        <v>0</v>
      </c>
      <c r="J115" s="1506">
        <v>1400</v>
      </c>
    </row>
    <row r="116" spans="1:10" ht="13" thickBot="1" x14ac:dyDescent="0.3">
      <c r="A116" s="1504"/>
      <c r="B116" s="822" t="str">
        <f>Traduzioni!G739</f>
        <v>Montaggio</v>
      </c>
      <c r="C116" s="829">
        <v>50000</v>
      </c>
      <c r="D116" s="827" t="s">
        <v>3713</v>
      </c>
      <c r="E116" s="836"/>
      <c r="F116" s="828"/>
      <c r="G116" s="841"/>
      <c r="H116" s="851">
        <f t="shared" si="1"/>
        <v>50000</v>
      </c>
      <c r="I116" s="1510"/>
      <c r="J116" s="1507"/>
    </row>
    <row r="117" spans="1:10" ht="13" thickBot="1" x14ac:dyDescent="0.3">
      <c r="A117" s="1504"/>
      <c r="B117" s="822" t="str">
        <f>Traduzioni!G740</f>
        <v>Casco macchine</v>
      </c>
      <c r="C117" s="829">
        <v>40000</v>
      </c>
      <c r="D117" s="827" t="s">
        <v>3713</v>
      </c>
      <c r="E117" s="836"/>
      <c r="F117" s="828"/>
      <c r="G117" s="841"/>
      <c r="H117" s="851">
        <f t="shared" si="1"/>
        <v>40000</v>
      </c>
      <c r="I117" s="1510"/>
      <c r="J117" s="1507"/>
    </row>
    <row r="118" spans="1:10" ht="13" thickBot="1" x14ac:dyDescent="0.3">
      <c r="A118" s="1504"/>
      <c r="B118" s="822" t="str">
        <f>Traduzioni!G741</f>
        <v>Cyber</v>
      </c>
      <c r="C118" s="829">
        <v>40000</v>
      </c>
      <c r="D118" s="827" t="s">
        <v>3713</v>
      </c>
      <c r="E118" s="836"/>
      <c r="F118" s="828"/>
      <c r="G118" s="841"/>
      <c r="H118" s="851">
        <f t="shared" si="1"/>
        <v>40000</v>
      </c>
      <c r="I118" s="1510"/>
      <c r="J118" s="1507"/>
    </row>
    <row r="119" spans="1:10" ht="13" thickBot="1" x14ac:dyDescent="0.3">
      <c r="A119" s="1505"/>
      <c r="B119" s="822" t="str">
        <f>Traduzioni!G742</f>
        <v>Impianti ITG/EED</v>
      </c>
      <c r="C119" s="830">
        <v>60000</v>
      </c>
      <c r="D119" s="831" t="s">
        <v>3713</v>
      </c>
      <c r="E119" s="837"/>
      <c r="F119" s="832"/>
      <c r="G119" s="842"/>
      <c r="H119" s="852">
        <f t="shared" si="1"/>
        <v>60000</v>
      </c>
      <c r="I119" s="1511"/>
      <c r="J119" s="1508"/>
    </row>
    <row r="120" spans="1:10" ht="13" thickBot="1" x14ac:dyDescent="0.3">
      <c r="A120" s="1503" t="str">
        <f>Traduzioni!G753</f>
        <v>Diverse</v>
      </c>
      <c r="B120" s="822" t="str">
        <f>Traduzioni!G743</f>
        <v>Infortuni Clienti</v>
      </c>
      <c r="C120" s="823"/>
      <c r="D120" s="824" t="s">
        <v>3713</v>
      </c>
      <c r="E120" s="835"/>
      <c r="F120" s="825"/>
      <c r="G120" s="839"/>
      <c r="H120" s="823"/>
      <c r="I120" s="846"/>
      <c r="J120" s="856"/>
    </row>
    <row r="121" spans="1:10" ht="13" thickBot="1" x14ac:dyDescent="0.3">
      <c r="A121" s="1505"/>
      <c r="B121" s="822" t="str">
        <f>Traduzioni!G744</f>
        <v>Altro</v>
      </c>
      <c r="C121" s="830"/>
      <c r="D121" s="831" t="s">
        <v>3713</v>
      </c>
      <c r="E121" s="837"/>
      <c r="F121" s="832"/>
      <c r="G121" s="842"/>
      <c r="H121" s="830"/>
      <c r="I121" s="847"/>
      <c r="J121" s="857"/>
    </row>
    <row r="122" spans="1:10" s="42" customFormat="1" ht="13" x14ac:dyDescent="0.3">
      <c r="A122" s="1495" t="str">
        <f>Traduzioni!G745</f>
        <v>TOTALE</v>
      </c>
      <c r="B122" s="1496"/>
      <c r="C122" s="820">
        <f>SUM(C92:C121)</f>
        <v>4615000</v>
      </c>
      <c r="D122" s="1497"/>
      <c r="E122" s="1497"/>
      <c r="F122" s="1497"/>
      <c r="G122" s="845">
        <f>SUM(G92:G121)</f>
        <v>1630000</v>
      </c>
      <c r="H122" s="820">
        <f>SUM(H92:H121)</f>
        <v>4615000</v>
      </c>
      <c r="I122" s="845">
        <f>SUM(I92:I121)</f>
        <v>6200</v>
      </c>
      <c r="J122" s="821">
        <f>SUM(J92:J121)</f>
        <v>10600</v>
      </c>
    </row>
    <row r="123" spans="1:10" s="42" customFormat="1" ht="13.5" thickBot="1" x14ac:dyDescent="0.35">
      <c r="A123" s="1498" t="str">
        <f>Traduzioni!G746</f>
        <v>DIFFERENZA:</v>
      </c>
      <c r="B123" s="1499"/>
      <c r="C123" s="1499"/>
      <c r="D123" s="1499"/>
      <c r="E123" s="1499"/>
      <c r="F123" s="1499"/>
      <c r="G123" s="1500">
        <f>H122-G122</f>
        <v>2985000</v>
      </c>
      <c r="H123" s="1500"/>
      <c r="I123" s="1501">
        <f>J122-I122</f>
        <v>4400</v>
      </c>
      <c r="J123" s="1502"/>
    </row>
    <row r="125" spans="1:10" ht="37" customHeight="1" x14ac:dyDescent="0.5">
      <c r="A125" s="1464" t="str">
        <f>Traduzioni!G830</f>
        <v>ALTRO</v>
      </c>
      <c r="B125" s="1464"/>
      <c r="C125" s="1464"/>
      <c r="D125" s="1464"/>
      <c r="E125" s="1464"/>
      <c r="F125" s="1464"/>
      <c r="G125" s="1464"/>
      <c r="H125" s="1464"/>
      <c r="I125" s="1464"/>
      <c r="J125" s="1464"/>
    </row>
    <row r="126" spans="1:10" ht="409.5" customHeight="1" x14ac:dyDescent="0.25">
      <c r="A126" s="1547"/>
      <c r="B126" s="1548"/>
      <c r="C126" s="1548"/>
      <c r="D126" s="1548"/>
      <c r="E126" s="1548"/>
      <c r="F126" s="1548"/>
      <c r="G126" s="1548"/>
      <c r="H126" s="1548"/>
      <c r="I126" s="1548"/>
      <c r="J126" s="1548"/>
    </row>
  </sheetData>
  <sheetProtection sheet="1" objects="1" scenarios="1"/>
  <mergeCells count="262">
    <mergeCell ref="A62:J62"/>
    <mergeCell ref="A125:J125"/>
    <mergeCell ref="A126:J126"/>
    <mergeCell ref="F55:J55"/>
    <mergeCell ref="F56:J56"/>
    <mergeCell ref="F57:J57"/>
    <mergeCell ref="F58:J58"/>
    <mergeCell ref="F59:J59"/>
    <mergeCell ref="F60:J60"/>
    <mergeCell ref="J96:J101"/>
    <mergeCell ref="C86:D86"/>
    <mergeCell ref="C89:D89"/>
    <mergeCell ref="E104:E106"/>
    <mergeCell ref="F104:F106"/>
    <mergeCell ref="E102:E103"/>
    <mergeCell ref="F102:F103"/>
    <mergeCell ref="E96:E101"/>
    <mergeCell ref="F96:F101"/>
    <mergeCell ref="F109:F110"/>
    <mergeCell ref="E109:E110"/>
    <mergeCell ref="J104:J106"/>
    <mergeCell ref="E111:E114"/>
    <mergeCell ref="I96:I101"/>
    <mergeCell ref="J102:J103"/>
    <mergeCell ref="F54:J54"/>
    <mergeCell ref="A60:D60"/>
    <mergeCell ref="A43:D43"/>
    <mergeCell ref="F43:J43"/>
    <mergeCell ref="F44:J44"/>
    <mergeCell ref="F45:J45"/>
    <mergeCell ref="F46:J46"/>
    <mergeCell ref="F47:J47"/>
    <mergeCell ref="F48:J48"/>
    <mergeCell ref="A54:D54"/>
    <mergeCell ref="A55:D55"/>
    <mergeCell ref="A56:D56"/>
    <mergeCell ref="A57:D57"/>
    <mergeCell ref="A58:D58"/>
    <mergeCell ref="A59:D59"/>
    <mergeCell ref="A48:D48"/>
    <mergeCell ref="A49:D49"/>
    <mergeCell ref="A50:D50"/>
    <mergeCell ref="A51:D51"/>
    <mergeCell ref="A52:D52"/>
    <mergeCell ref="A53:D53"/>
    <mergeCell ref="A44:D44"/>
    <mergeCell ref="A45:D45"/>
    <mergeCell ref="A46:D46"/>
    <mergeCell ref="F53:J53"/>
    <mergeCell ref="A37:B37"/>
    <mergeCell ref="A29:B29"/>
    <mergeCell ref="A30:B30"/>
    <mergeCell ref="A38:B38"/>
    <mergeCell ref="C29:E29"/>
    <mergeCell ref="C30:E30"/>
    <mergeCell ref="C37:J37"/>
    <mergeCell ref="C38:J38"/>
    <mergeCell ref="H29:J29"/>
    <mergeCell ref="H30:J30"/>
    <mergeCell ref="A31:B31"/>
    <mergeCell ref="C31:J31"/>
    <mergeCell ref="A47:D47"/>
    <mergeCell ref="A40:B40"/>
    <mergeCell ref="A41:B41"/>
    <mergeCell ref="C40:J40"/>
    <mergeCell ref="C41:J41"/>
    <mergeCell ref="F49:J49"/>
    <mergeCell ref="F50:J50"/>
    <mergeCell ref="F51:J51"/>
    <mergeCell ref="F52:J52"/>
    <mergeCell ref="F19:J19"/>
    <mergeCell ref="F20:J20"/>
    <mergeCell ref="F22:J22"/>
    <mergeCell ref="F23:J23"/>
    <mergeCell ref="F24:J24"/>
    <mergeCell ref="A24:D24"/>
    <mergeCell ref="A25:D25"/>
    <mergeCell ref="A26:D26"/>
    <mergeCell ref="F11:J11"/>
    <mergeCell ref="F12:J12"/>
    <mergeCell ref="F13:J13"/>
    <mergeCell ref="F14:J14"/>
    <mergeCell ref="F15:J15"/>
    <mergeCell ref="F16:J16"/>
    <mergeCell ref="F17:J17"/>
    <mergeCell ref="C1:D1"/>
    <mergeCell ref="C4:D4"/>
    <mergeCell ref="A12:D12"/>
    <mergeCell ref="A13:D13"/>
    <mergeCell ref="A15:D15"/>
    <mergeCell ref="A6:B6"/>
    <mergeCell ref="A7:B7"/>
    <mergeCell ref="A8:B8"/>
    <mergeCell ref="C6:J6"/>
    <mergeCell ref="C7:J7"/>
    <mergeCell ref="C8:J8"/>
    <mergeCell ref="A14:D14"/>
    <mergeCell ref="A1:B4"/>
    <mergeCell ref="E1:J1"/>
    <mergeCell ref="E2:J2"/>
    <mergeCell ref="E3:J3"/>
    <mergeCell ref="A10:D10"/>
    <mergeCell ref="F10:J10"/>
    <mergeCell ref="I107:I108"/>
    <mergeCell ref="J107:J108"/>
    <mergeCell ref="I111:I114"/>
    <mergeCell ref="A120:A121"/>
    <mergeCell ref="J92:J95"/>
    <mergeCell ref="I92:I95"/>
    <mergeCell ref="I109:I110"/>
    <mergeCell ref="J109:J110"/>
    <mergeCell ref="A102:A103"/>
    <mergeCell ref="A86:B89"/>
    <mergeCell ref="A122:B122"/>
    <mergeCell ref="D122:F122"/>
    <mergeCell ref="A123:F123"/>
    <mergeCell ref="G123:H123"/>
    <mergeCell ref="I123:J123"/>
    <mergeCell ref="A115:A119"/>
    <mergeCell ref="J111:J114"/>
    <mergeCell ref="I115:I119"/>
    <mergeCell ref="J115:J119"/>
    <mergeCell ref="A104:A106"/>
    <mergeCell ref="A107:A108"/>
    <mergeCell ref="A111:A114"/>
    <mergeCell ref="A109:A110"/>
    <mergeCell ref="I104:I106"/>
    <mergeCell ref="E107:E108"/>
    <mergeCell ref="F107:F108"/>
    <mergeCell ref="A92:A95"/>
    <mergeCell ref="E92:E95"/>
    <mergeCell ref="F92:F95"/>
    <mergeCell ref="A96:A101"/>
    <mergeCell ref="E86:J86"/>
    <mergeCell ref="I102:I103"/>
    <mergeCell ref="E87:J87"/>
    <mergeCell ref="E88:J88"/>
    <mergeCell ref="E89:J89"/>
    <mergeCell ref="A21:D21"/>
    <mergeCell ref="F21:J21"/>
    <mergeCell ref="F29:G29"/>
    <mergeCell ref="F30:G30"/>
    <mergeCell ref="A71:J71"/>
    <mergeCell ref="E4:J4"/>
    <mergeCell ref="A17:D17"/>
    <mergeCell ref="A18:D18"/>
    <mergeCell ref="A19:D19"/>
    <mergeCell ref="A20:D20"/>
    <mergeCell ref="A22:D22"/>
    <mergeCell ref="A23:D23"/>
    <mergeCell ref="A11:D11"/>
    <mergeCell ref="A16:D16"/>
    <mergeCell ref="F25:J25"/>
    <mergeCell ref="F26:J26"/>
    <mergeCell ref="A28:B28"/>
    <mergeCell ref="F28:G28"/>
    <mergeCell ref="H28:J28"/>
    <mergeCell ref="C28:E28"/>
    <mergeCell ref="F18:J18"/>
    <mergeCell ref="G76:H76"/>
    <mergeCell ref="A76:B76"/>
    <mergeCell ref="A77:B77"/>
    <mergeCell ref="A78:B78"/>
    <mergeCell ref="A79:B79"/>
    <mergeCell ref="A80:B80"/>
    <mergeCell ref="A81:B81"/>
    <mergeCell ref="A82:B82"/>
    <mergeCell ref="A72:B72"/>
    <mergeCell ref="A73:B73"/>
    <mergeCell ref="A74:B74"/>
    <mergeCell ref="A75:B75"/>
    <mergeCell ref="G77:H77"/>
    <mergeCell ref="I77:J77"/>
    <mergeCell ref="C78:D78"/>
    <mergeCell ref="E78:F78"/>
    <mergeCell ref="G78:H78"/>
    <mergeCell ref="I78:J78"/>
    <mergeCell ref="C72:D72"/>
    <mergeCell ref="E72:F72"/>
    <mergeCell ref="G72:H72"/>
    <mergeCell ref="I72:J72"/>
    <mergeCell ref="C73:D73"/>
    <mergeCell ref="C74:D74"/>
    <mergeCell ref="E73:F73"/>
    <mergeCell ref="E74:F74"/>
    <mergeCell ref="G73:H73"/>
    <mergeCell ref="G74:H74"/>
    <mergeCell ref="I73:J73"/>
    <mergeCell ref="I74:J74"/>
    <mergeCell ref="C75:D75"/>
    <mergeCell ref="E75:F75"/>
    <mergeCell ref="G75:H75"/>
    <mergeCell ref="I75:J75"/>
    <mergeCell ref="C76:D76"/>
    <mergeCell ref="E76:F76"/>
    <mergeCell ref="E64:F64"/>
    <mergeCell ref="G64:H64"/>
    <mergeCell ref="I64:J64"/>
    <mergeCell ref="A65:B65"/>
    <mergeCell ref="C65:D65"/>
    <mergeCell ref="E65:F65"/>
    <mergeCell ref="G65:H65"/>
    <mergeCell ref="I65:J65"/>
    <mergeCell ref="A66:B66"/>
    <mergeCell ref="A68:B68"/>
    <mergeCell ref="C68:D68"/>
    <mergeCell ref="E68:F68"/>
    <mergeCell ref="G68:H68"/>
    <mergeCell ref="I68:J68"/>
    <mergeCell ref="C82:D82"/>
    <mergeCell ref="E82:F82"/>
    <mergeCell ref="G82:H82"/>
    <mergeCell ref="I82:J82"/>
    <mergeCell ref="C79:D79"/>
    <mergeCell ref="E79:F79"/>
    <mergeCell ref="G79:H79"/>
    <mergeCell ref="I79:J79"/>
    <mergeCell ref="C80:D80"/>
    <mergeCell ref="E80:F80"/>
    <mergeCell ref="G80:H80"/>
    <mergeCell ref="I80:J80"/>
    <mergeCell ref="C81:D81"/>
    <mergeCell ref="E81:F81"/>
    <mergeCell ref="G81:H81"/>
    <mergeCell ref="I81:J81"/>
    <mergeCell ref="I76:J76"/>
    <mergeCell ref="C77:D77"/>
    <mergeCell ref="E77:F77"/>
    <mergeCell ref="A69:B69"/>
    <mergeCell ref="C69:D69"/>
    <mergeCell ref="E69:F69"/>
    <mergeCell ref="G69:H69"/>
    <mergeCell ref="I69:J69"/>
    <mergeCell ref="A70:B70"/>
    <mergeCell ref="C70:D70"/>
    <mergeCell ref="E70:F70"/>
    <mergeCell ref="G70:H70"/>
    <mergeCell ref="I70:J70"/>
    <mergeCell ref="A27:J27"/>
    <mergeCell ref="A33:B33"/>
    <mergeCell ref="C33:J33"/>
    <mergeCell ref="A34:B34"/>
    <mergeCell ref="C34:J34"/>
    <mergeCell ref="A35:B35"/>
    <mergeCell ref="C35:J35"/>
    <mergeCell ref="A32:J32"/>
    <mergeCell ref="A67:B67"/>
    <mergeCell ref="C67:D67"/>
    <mergeCell ref="E67:F67"/>
    <mergeCell ref="G67:H67"/>
    <mergeCell ref="I67:J67"/>
    <mergeCell ref="C66:D66"/>
    <mergeCell ref="E66:F66"/>
    <mergeCell ref="G66:H66"/>
    <mergeCell ref="I66:J66"/>
    <mergeCell ref="A63:B63"/>
    <mergeCell ref="C63:D63"/>
    <mergeCell ref="E63:F63"/>
    <mergeCell ref="G63:H63"/>
    <mergeCell ref="I63:J63"/>
    <mergeCell ref="A64:B64"/>
    <mergeCell ref="C64:D64"/>
  </mergeCells>
  <pageMargins left="0.70866141732283472" right="0.70866141732283472" top="0.47244094488188981" bottom="0.47244094488188981" header="0.31496062992125984" footer="0.31496062992125984"/>
  <pageSetup orientation="landscape" r:id="rId1"/>
  <rowBreaks count="2" manualBreakCount="2">
    <brk id="85" max="16383" man="1"/>
    <brk id="123"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8C2C567-356B-4270-85D1-E3115CEF980E}">
          <x14:formula1>
            <xm:f>'Sigle per Analisi'!$B$37:$B$48</xm:f>
          </x14:formula1>
          <xm:sqref>E11:E26</xm:sqref>
        </x14:dataValidation>
        <x14:dataValidation type="list" allowBlank="1" showInputMessage="1" showErrorMessage="1" xr:uid="{1099B8F6-DD23-470D-8849-93CC56836AD6}">
          <x14:formula1>
            <xm:f>Traduzioni!$G$806:$G$815</xm:f>
          </x14:formula1>
          <xm:sqref>C7:J7</xm:sqref>
        </x14:dataValidation>
        <x14:dataValidation type="list" allowBlank="1" showInputMessage="1" showErrorMessage="1" xr:uid="{4D476732-AFDE-46FB-80EB-0053EEBC1D7C}">
          <x14:formula1>
            <xm:f>Traduzioni!$G$837:$G$838</xm:f>
          </x14:formula1>
          <xm:sqref>C75:J75</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9CC2-C347-4D94-961B-736607089624}">
  <dimension ref="A1:J864"/>
  <sheetViews>
    <sheetView topLeftCell="C1" workbookViewId="0">
      <pane ySplit="4" topLeftCell="A854" activePane="bottomLeft" state="frozen"/>
      <selection pane="bottomLeft" activeCell="G864" sqref="G864"/>
    </sheetView>
  </sheetViews>
  <sheetFormatPr defaultRowHeight="12.5" x14ac:dyDescent="0.25"/>
  <cols>
    <col min="1" max="1" width="37.6328125" style="90" customWidth="1"/>
    <col min="2" max="2" width="37.36328125" style="90" customWidth="1"/>
    <col min="3" max="3" width="29.1796875" style="90" customWidth="1"/>
    <col min="4" max="4" width="35.08984375" style="90" customWidth="1"/>
    <col min="5" max="5" width="28.26953125" style="90" customWidth="1"/>
    <col min="6" max="6" width="28.54296875" style="90" customWidth="1"/>
    <col min="7" max="7" width="46.54296875" style="90" customWidth="1"/>
  </cols>
  <sheetData>
    <row r="1" spans="1:7" x14ac:dyDescent="0.25">
      <c r="A1" s="90" t="s">
        <v>459</v>
      </c>
      <c r="B1" s="90" t="s">
        <v>468</v>
      </c>
      <c r="C1" s="90" t="str">
        <f>ANALYSIS!B4</f>
        <v>IT</v>
      </c>
    </row>
    <row r="4" spans="1:7" ht="22.5" x14ac:dyDescent="0.45">
      <c r="A4" s="399" t="s">
        <v>481</v>
      </c>
      <c r="B4" s="399" t="s">
        <v>482</v>
      </c>
      <c r="C4" s="399" t="s">
        <v>483</v>
      </c>
      <c r="D4" s="399" t="s">
        <v>484</v>
      </c>
      <c r="E4" s="399" t="s">
        <v>485</v>
      </c>
      <c r="F4" s="399" t="s">
        <v>486</v>
      </c>
      <c r="G4" s="399" t="s">
        <v>466</v>
      </c>
    </row>
    <row r="5" spans="1:7" x14ac:dyDescent="0.25">
      <c r="A5" s="400" t="s">
        <v>460</v>
      </c>
      <c r="B5" s="470" t="s">
        <v>2679</v>
      </c>
      <c r="C5" s="401" t="s">
        <v>470</v>
      </c>
      <c r="D5" s="401" t="s">
        <v>475</v>
      </c>
      <c r="E5" s="401" t="s">
        <v>487</v>
      </c>
      <c r="F5" s="401" t="s">
        <v>493</v>
      </c>
      <c r="G5" s="400" t="str">
        <f>IF($C$1="IT",A5,IF($C$1="DE",B5,IF($C$1="FR",C5,IF($C$1="PT",D5,IF($C$1="RU",E5,IF($C$1="EN",F5,A5))))))</f>
        <v>ANALISI DEL FABBISOGNO</v>
      </c>
    </row>
    <row r="6" spans="1:7" x14ac:dyDescent="0.25">
      <c r="A6" s="400" t="s">
        <v>461</v>
      </c>
      <c r="B6" s="470" t="s">
        <v>2680</v>
      </c>
      <c r="C6" s="400" t="s">
        <v>462</v>
      </c>
      <c r="D6" s="401" t="s">
        <v>476</v>
      </c>
      <c r="E6" s="401" t="s">
        <v>488</v>
      </c>
      <c r="F6" s="401" t="s">
        <v>462</v>
      </c>
      <c r="G6" s="400" t="str">
        <f t="shared" ref="G6:G68" si="0">IF($C$1="IT",A6,IF($C$1="DE",B6,IF($C$1="FR",C6,IF($C$1="PT",D6,IF($C$1="RU",E6,IF($C$1="EN",F6,A6))))))</f>
        <v>versione</v>
      </c>
    </row>
    <row r="7" spans="1:7" x14ac:dyDescent="0.25">
      <c r="A7" s="400" t="s">
        <v>463</v>
      </c>
      <c r="B7" s="470" t="s">
        <v>2681</v>
      </c>
      <c r="C7" s="401" t="s">
        <v>471</v>
      </c>
      <c r="D7" s="401" t="s">
        <v>477</v>
      </c>
      <c r="E7" s="401" t="s">
        <v>489</v>
      </c>
      <c r="F7" s="401" t="s">
        <v>494</v>
      </c>
      <c r="G7" s="400" t="str">
        <f t="shared" si="0"/>
        <v>Dati obbligatori per ogni argomento</v>
      </c>
    </row>
    <row r="8" spans="1:7" x14ac:dyDescent="0.25">
      <c r="A8" s="400" t="s">
        <v>469</v>
      </c>
      <c r="B8" s="470" t="s">
        <v>2682</v>
      </c>
      <c r="C8" s="401" t="s">
        <v>472</v>
      </c>
      <c r="D8" s="401" t="s">
        <v>478</v>
      </c>
      <c r="E8" s="401" t="s">
        <v>490</v>
      </c>
      <c r="F8" s="401" t="s">
        <v>495</v>
      </c>
      <c r="G8" s="400" t="str">
        <f t="shared" si="0"/>
        <v>Dati obbligatori per singolo argomento</v>
      </c>
    </row>
    <row r="9" spans="1:7" ht="12.5" customHeight="1" x14ac:dyDescent="0.25">
      <c r="A9" s="400" t="s">
        <v>464</v>
      </c>
      <c r="B9" s="470" t="s">
        <v>2683</v>
      </c>
      <c r="C9" s="401" t="s">
        <v>473</v>
      </c>
      <c r="D9" s="401" t="s">
        <v>479</v>
      </c>
      <c r="E9" s="401" t="s">
        <v>491</v>
      </c>
      <c r="F9" s="401" t="s">
        <v>496</v>
      </c>
      <c r="G9" s="400" t="str">
        <f t="shared" si="0"/>
        <v>Dati facoltativi generali per una maggiore precisione (in alternativa vengono calcolati dal sistema)</v>
      </c>
    </row>
    <row r="10" spans="1:7" ht="25" x14ac:dyDescent="0.25">
      <c r="A10" s="400" t="s">
        <v>465</v>
      </c>
      <c r="B10" s="470" t="s">
        <v>2684</v>
      </c>
      <c r="C10" s="401" t="s">
        <v>474</v>
      </c>
      <c r="D10" s="401" t="s">
        <v>480</v>
      </c>
      <c r="E10" s="401" t="s">
        <v>492</v>
      </c>
      <c r="F10" s="401" t="s">
        <v>497</v>
      </c>
      <c r="G10" s="400" t="str">
        <f t="shared" si="0"/>
        <v>Dati facoltativi per una maggior precisione in ogni singolo argomento</v>
      </c>
    </row>
    <row r="11" spans="1:7" ht="29" customHeight="1" x14ac:dyDescent="0.25">
      <c r="A11" s="400" t="s">
        <v>498</v>
      </c>
      <c r="B11" s="470" t="s">
        <v>499</v>
      </c>
      <c r="C11" s="401" t="s">
        <v>526</v>
      </c>
      <c r="D11" s="401" t="s">
        <v>543</v>
      </c>
      <c r="E11" s="401" t="s">
        <v>560</v>
      </c>
      <c r="F11" s="401" t="s">
        <v>577</v>
      </c>
      <c r="G11" s="400" t="str">
        <f t="shared" si="0"/>
        <v xml:space="preserve">SOGNI E OBIETTIVI </v>
      </c>
    </row>
    <row r="12" spans="1:7" ht="25" x14ac:dyDescent="0.25">
      <c r="A12" s="400" t="s">
        <v>500</v>
      </c>
      <c r="B12" s="470" t="s">
        <v>501</v>
      </c>
      <c r="C12" s="401" t="s">
        <v>527</v>
      </c>
      <c r="D12" s="401" t="s">
        <v>544</v>
      </c>
      <c r="E12" s="401" t="s">
        <v>561</v>
      </c>
      <c r="F12" s="401" t="s">
        <v>578</v>
      </c>
      <c r="G12" s="400" t="str">
        <f t="shared" si="0"/>
        <v>Godere della sicurezza finanziaria, qualunque cosa accada</v>
      </c>
    </row>
    <row r="13" spans="1:7" ht="25" x14ac:dyDescent="0.25">
      <c r="A13" s="400" t="s">
        <v>502</v>
      </c>
      <c r="B13" s="470" t="s">
        <v>503</v>
      </c>
      <c r="C13" s="401" t="s">
        <v>528</v>
      </c>
      <c r="D13" s="401" t="s">
        <v>545</v>
      </c>
      <c r="E13" s="401" t="s">
        <v>562</v>
      </c>
      <c r="F13" s="401" t="s">
        <v>579</v>
      </c>
      <c r="G13" s="400" t="str">
        <f t="shared" si="0"/>
        <v>Acquistare e mantenere un abitazione di proprietà</v>
      </c>
    </row>
    <row r="14" spans="1:7" ht="25" x14ac:dyDescent="0.25">
      <c r="A14" s="400" t="s">
        <v>1536</v>
      </c>
      <c r="B14" s="470" t="s">
        <v>504</v>
      </c>
      <c r="C14" s="401" t="s">
        <v>529</v>
      </c>
      <c r="D14" s="401" t="s">
        <v>546</v>
      </c>
      <c r="E14" s="401" t="s">
        <v>563</v>
      </c>
      <c r="F14" s="401" t="s">
        <v>580</v>
      </c>
      <c r="G14" s="400" t="str">
        <f t="shared" si="0"/>
        <v>Godere della libertà finanziaria in età avanzata</v>
      </c>
    </row>
    <row r="15" spans="1:7" x14ac:dyDescent="0.25">
      <c r="A15" s="400" t="s">
        <v>505</v>
      </c>
      <c r="B15" s="470" t="s">
        <v>506</v>
      </c>
      <c r="C15" s="401" t="s">
        <v>530</v>
      </c>
      <c r="D15" s="401" t="s">
        <v>547</v>
      </c>
      <c r="E15" s="401" t="s">
        <v>564</v>
      </c>
      <c r="F15" s="401" t="s">
        <v>581</v>
      </c>
      <c r="G15" s="400" t="str">
        <f t="shared" si="0"/>
        <v>Sicurezza per Famiglia, Partner e Figli</v>
      </c>
    </row>
    <row r="16" spans="1:7" x14ac:dyDescent="0.25">
      <c r="A16" s="400" t="s">
        <v>507</v>
      </c>
      <c r="B16" s="470" t="s">
        <v>508</v>
      </c>
      <c r="C16" s="401" t="s">
        <v>531</v>
      </c>
      <c r="D16" s="401" t="s">
        <v>548</v>
      </c>
      <c r="E16" s="401" t="s">
        <v>565</v>
      </c>
      <c r="F16" s="401" t="s">
        <v>582</v>
      </c>
      <c r="G16" s="400" t="str">
        <f t="shared" si="0"/>
        <v>Vantaggi fiscali</v>
      </c>
    </row>
    <row r="17" spans="1:7" ht="25" customHeight="1" x14ac:dyDescent="0.25">
      <c r="A17" s="400" t="s">
        <v>2806</v>
      </c>
      <c r="B17" s="470" t="s">
        <v>509</v>
      </c>
      <c r="C17" s="401" t="s">
        <v>532</v>
      </c>
      <c r="D17" s="401" t="s">
        <v>549</v>
      </c>
      <c r="E17" s="401" t="s">
        <v>566</v>
      </c>
      <c r="F17" s="401" t="s">
        <v>583</v>
      </c>
      <c r="G17" s="400" t="str">
        <f t="shared" si="0"/>
        <v>Costruire e aumentare il patrimonio</v>
      </c>
    </row>
    <row r="18" spans="1:7" x14ac:dyDescent="0.25">
      <c r="A18" s="400" t="s">
        <v>510</v>
      </c>
      <c r="B18" s="470" t="s">
        <v>511</v>
      </c>
      <c r="C18" s="401" t="s">
        <v>533</v>
      </c>
      <c r="D18" s="401" t="s">
        <v>550</v>
      </c>
      <c r="E18" s="401" t="s">
        <v>567</v>
      </c>
      <c r="F18" s="401" t="s">
        <v>584</v>
      </c>
      <c r="G18" s="400" t="str">
        <f t="shared" si="0"/>
        <v>Assicuraioni generali</v>
      </c>
    </row>
    <row r="19" spans="1:7" ht="25" x14ac:dyDescent="0.25">
      <c r="A19" s="400" t="s">
        <v>513</v>
      </c>
      <c r="B19" s="470" t="s">
        <v>514</v>
      </c>
      <c r="C19" s="401" t="s">
        <v>534</v>
      </c>
      <c r="D19" s="401" t="s">
        <v>551</v>
      </c>
      <c r="E19" s="401" t="s">
        <v>568</v>
      </c>
      <c r="F19" s="401" t="s">
        <v>585</v>
      </c>
      <c r="G19" s="400" t="str">
        <f t="shared" si="0"/>
        <v>Particolari espressi dal cliente in merito ai suoi obiettivi e desideri</v>
      </c>
    </row>
    <row r="20" spans="1:7" ht="48.5" customHeight="1" x14ac:dyDescent="0.25">
      <c r="A20" s="400" t="s">
        <v>515</v>
      </c>
      <c r="B20" s="470" t="s">
        <v>516</v>
      </c>
      <c r="C20" s="401" t="s">
        <v>535</v>
      </c>
      <c r="D20" s="401" t="s">
        <v>552</v>
      </c>
      <c r="E20" s="401" t="s">
        <v>569</v>
      </c>
      <c r="F20" s="401" t="s">
        <v>586</v>
      </c>
      <c r="G20" s="400" t="str">
        <f t="shared" si="0"/>
        <v>PROFILO DEL CLIENTE</v>
      </c>
    </row>
    <row r="21" spans="1:7" x14ac:dyDescent="0.25">
      <c r="A21" s="403" t="s">
        <v>518</v>
      </c>
      <c r="B21" s="470" t="s">
        <v>2685</v>
      </c>
      <c r="C21" s="401" t="s">
        <v>536</v>
      </c>
      <c r="D21" s="401" t="s">
        <v>553</v>
      </c>
      <c r="E21" s="401" t="s">
        <v>570</v>
      </c>
      <c r="F21" s="401" t="s">
        <v>587</v>
      </c>
      <c r="G21" s="400" t="str">
        <f t="shared" si="0"/>
        <v>Cognome e nome</v>
      </c>
    </row>
    <row r="22" spans="1:7" ht="13" x14ac:dyDescent="0.25">
      <c r="A22" s="402" t="s">
        <v>517</v>
      </c>
      <c r="B22" s="470" t="s">
        <v>2686</v>
      </c>
      <c r="C22" s="401" t="s">
        <v>537</v>
      </c>
      <c r="D22" s="401" t="s">
        <v>554</v>
      </c>
      <c r="E22" s="401" t="s">
        <v>571</v>
      </c>
      <c r="F22" s="401" t="s">
        <v>588</v>
      </c>
      <c r="G22" s="400" t="str">
        <f t="shared" si="0"/>
        <v xml:space="preserve">Stato civile (1=singole / 2 = coniugato / 3 = conviv.) </v>
      </c>
    </row>
    <row r="23" spans="1:7" x14ac:dyDescent="0.25">
      <c r="A23" s="403" t="s">
        <v>519</v>
      </c>
      <c r="B23" s="470" t="s">
        <v>2687</v>
      </c>
      <c r="C23" s="401" t="s">
        <v>538</v>
      </c>
      <c r="D23" s="401" t="s">
        <v>555</v>
      </c>
      <c r="E23" s="401" t="s">
        <v>572</v>
      </c>
      <c r="F23" s="401" t="s">
        <v>589</v>
      </c>
      <c r="G23" s="400" t="str">
        <f t="shared" si="0"/>
        <v>Data del matrimonio</v>
      </c>
    </row>
    <row r="24" spans="1:7" x14ac:dyDescent="0.25">
      <c r="A24" s="403" t="s">
        <v>520</v>
      </c>
      <c r="B24" s="470" t="s">
        <v>521</v>
      </c>
      <c r="C24" s="401" t="s">
        <v>539</v>
      </c>
      <c r="D24" s="401" t="s">
        <v>556</v>
      </c>
      <c r="E24" s="401" t="s">
        <v>573</v>
      </c>
      <c r="F24" s="401" t="s">
        <v>590</v>
      </c>
      <c r="G24" s="400" t="str">
        <f t="shared" si="0"/>
        <v xml:space="preserve">Uomo = 1 / Donna = 0 </v>
      </c>
    </row>
    <row r="25" spans="1:7" x14ac:dyDescent="0.25">
      <c r="A25" s="403" t="s">
        <v>522</v>
      </c>
      <c r="B25" s="470" t="s">
        <v>523</v>
      </c>
      <c r="C25" s="401" t="s">
        <v>540</v>
      </c>
      <c r="D25" s="401" t="s">
        <v>557</v>
      </c>
      <c r="E25" s="401" t="s">
        <v>574</v>
      </c>
      <c r="F25" s="401" t="s">
        <v>591</v>
      </c>
      <c r="G25" s="400" t="str">
        <f t="shared" si="0"/>
        <v>N. Telefono</v>
      </c>
    </row>
    <row r="26" spans="1:7" x14ac:dyDescent="0.25">
      <c r="A26" s="403" t="s">
        <v>524</v>
      </c>
      <c r="B26" s="470" t="s">
        <v>541</v>
      </c>
      <c r="C26" s="401" t="s">
        <v>541</v>
      </c>
      <c r="D26" s="401" t="s">
        <v>558</v>
      </c>
      <c r="E26" s="401" t="s">
        <v>575</v>
      </c>
      <c r="F26" s="401" t="s">
        <v>592</v>
      </c>
      <c r="G26" s="400" t="str">
        <f t="shared" si="0"/>
        <v>Indirizzo</v>
      </c>
    </row>
    <row r="27" spans="1:7" x14ac:dyDescent="0.25">
      <c r="A27" s="403" t="s">
        <v>185</v>
      </c>
      <c r="B27" s="470" t="s">
        <v>185</v>
      </c>
      <c r="C27" s="401" t="s">
        <v>185</v>
      </c>
      <c r="D27" s="401" t="s">
        <v>185</v>
      </c>
      <c r="E27" s="401" t="s">
        <v>185</v>
      </c>
      <c r="F27" s="401" t="s">
        <v>185</v>
      </c>
      <c r="G27" s="400" t="str">
        <f t="shared" si="0"/>
        <v>Email</v>
      </c>
    </row>
    <row r="28" spans="1:7" x14ac:dyDescent="0.25">
      <c r="A28" s="403" t="s">
        <v>525</v>
      </c>
      <c r="B28" s="470" t="s">
        <v>2688</v>
      </c>
      <c r="C28" s="401" t="s">
        <v>542</v>
      </c>
      <c r="D28" s="401" t="s">
        <v>559</v>
      </c>
      <c r="E28" s="401" t="s">
        <v>576</v>
      </c>
      <c r="F28" s="401" t="s">
        <v>593</v>
      </c>
      <c r="G28" s="400" t="str">
        <f t="shared" si="0"/>
        <v>Data di nascita</v>
      </c>
    </row>
    <row r="29" spans="1:7" ht="26.5" customHeight="1" x14ac:dyDescent="0.25">
      <c r="A29" s="400" t="s">
        <v>192</v>
      </c>
      <c r="B29" s="470" t="s">
        <v>594</v>
      </c>
      <c r="C29" s="401" t="s">
        <v>600</v>
      </c>
      <c r="D29" s="401" t="s">
        <v>192</v>
      </c>
      <c r="E29" s="401" t="s">
        <v>595</v>
      </c>
      <c r="F29" s="401" t="s">
        <v>598</v>
      </c>
      <c r="G29" s="400" t="str">
        <f t="shared" si="0"/>
        <v>Cliente</v>
      </c>
    </row>
    <row r="30" spans="1:7" ht="26.5" customHeight="1" x14ac:dyDescent="0.25">
      <c r="A30" s="400" t="s">
        <v>140</v>
      </c>
      <c r="B30" s="470" t="s">
        <v>140</v>
      </c>
      <c r="C30" s="401" t="s">
        <v>599</v>
      </c>
      <c r="D30" s="401" t="s">
        <v>597</v>
      </c>
      <c r="E30" s="401" t="s">
        <v>596</v>
      </c>
      <c r="F30" s="400" t="s">
        <v>140</v>
      </c>
      <c r="G30" s="400" t="str">
        <f t="shared" si="0"/>
        <v>Partner</v>
      </c>
    </row>
    <row r="31" spans="1:7" ht="26.5" customHeight="1" x14ac:dyDescent="0.25">
      <c r="A31" s="400" t="s">
        <v>400</v>
      </c>
      <c r="B31" s="470" t="s">
        <v>400</v>
      </c>
      <c r="C31" s="400" t="s">
        <v>400</v>
      </c>
      <c r="D31" s="400" t="s">
        <v>601</v>
      </c>
      <c r="E31" s="401" t="s">
        <v>602</v>
      </c>
      <c r="F31" s="400" t="s">
        <v>400</v>
      </c>
      <c r="G31" s="400" t="str">
        <f t="shared" si="0"/>
        <v>Note</v>
      </c>
    </row>
    <row r="32" spans="1:7" ht="11.5" customHeight="1" x14ac:dyDescent="0.25">
      <c r="A32" s="400" t="s">
        <v>603</v>
      </c>
      <c r="B32" s="470" t="s">
        <v>2689</v>
      </c>
      <c r="C32" s="401" t="s">
        <v>654</v>
      </c>
      <c r="D32" s="401" t="s">
        <v>657</v>
      </c>
      <c r="E32" s="401" t="s">
        <v>660</v>
      </c>
      <c r="F32" s="401" t="s">
        <v>663</v>
      </c>
      <c r="G32" s="400" t="str">
        <f t="shared" si="0"/>
        <v xml:space="preserve">N. figli minorenni o agli studi: </v>
      </c>
    </row>
    <row r="33" spans="1:7" ht="12.5" customHeight="1" x14ac:dyDescent="0.25">
      <c r="A33" s="400" t="s">
        <v>604</v>
      </c>
      <c r="B33" s="470" t="s">
        <v>2690</v>
      </c>
      <c r="C33" s="401" t="s">
        <v>655</v>
      </c>
      <c r="D33" s="401" t="s">
        <v>658</v>
      </c>
      <c r="E33" s="401" t="s">
        <v>661</v>
      </c>
      <c r="F33" s="401" t="s">
        <v>664</v>
      </c>
      <c r="G33" s="400" t="str">
        <f t="shared" si="0"/>
        <v>Per i figli solo il meglio è sufficiente (Goete)</v>
      </c>
    </row>
    <row r="34" spans="1:7" ht="25" x14ac:dyDescent="0.25">
      <c r="A34" s="400" t="s">
        <v>605</v>
      </c>
      <c r="B34" s="470" t="s">
        <v>606</v>
      </c>
      <c r="C34" s="401" t="s">
        <v>656</v>
      </c>
      <c r="D34" s="401" t="s">
        <v>659</v>
      </c>
      <c r="E34" s="401" t="s">
        <v>662</v>
      </c>
      <c r="F34" s="401" t="s">
        <v>665</v>
      </c>
      <c r="G34" s="400" t="str">
        <f t="shared" si="0"/>
        <v xml:space="preserve">Indicare anche il cognome se diverso da quello del cliente </v>
      </c>
    </row>
    <row r="35" spans="1:7" x14ac:dyDescent="0.25">
      <c r="A35" s="400" t="s">
        <v>608</v>
      </c>
      <c r="B35" s="470" t="s">
        <v>635</v>
      </c>
      <c r="C35" s="401" t="s">
        <v>638</v>
      </c>
      <c r="D35" s="401" t="s">
        <v>642</v>
      </c>
      <c r="E35" s="401" t="s">
        <v>646</v>
      </c>
      <c r="F35" s="401" t="s">
        <v>650</v>
      </c>
      <c r="G35" s="400" t="str">
        <f t="shared" si="0"/>
        <v>Primo figlio</v>
      </c>
    </row>
    <row r="36" spans="1:7" x14ac:dyDescent="0.25">
      <c r="A36" s="400" t="s">
        <v>607</v>
      </c>
      <c r="B36" s="470" t="s">
        <v>636</v>
      </c>
      <c r="C36" s="401" t="s">
        <v>639</v>
      </c>
      <c r="D36" s="401" t="s">
        <v>643</v>
      </c>
      <c r="E36" s="401" t="s">
        <v>647</v>
      </c>
      <c r="F36" s="401" t="s">
        <v>651</v>
      </c>
      <c r="G36" s="400" t="str">
        <f t="shared" si="0"/>
        <v>Secondo figlio</v>
      </c>
    </row>
    <row r="37" spans="1:7" x14ac:dyDescent="0.25">
      <c r="A37" s="400" t="s">
        <v>610</v>
      </c>
      <c r="B37" s="470" t="s">
        <v>637</v>
      </c>
      <c r="C37" s="401" t="s">
        <v>640</v>
      </c>
      <c r="D37" s="401" t="s">
        <v>644</v>
      </c>
      <c r="E37" s="401" t="s">
        <v>648</v>
      </c>
      <c r="F37" s="401" t="s">
        <v>652</v>
      </c>
      <c r="G37" s="400" t="str">
        <f t="shared" si="0"/>
        <v>Terzo figlio</v>
      </c>
    </row>
    <row r="38" spans="1:7" x14ac:dyDescent="0.25">
      <c r="A38" s="400" t="s">
        <v>609</v>
      </c>
      <c r="B38" s="470" t="s">
        <v>2691</v>
      </c>
      <c r="C38" s="401" t="s">
        <v>641</v>
      </c>
      <c r="D38" s="401" t="s">
        <v>645</v>
      </c>
      <c r="E38" s="401" t="s">
        <v>649</v>
      </c>
      <c r="F38" s="401" t="s">
        <v>653</v>
      </c>
      <c r="G38" s="400" t="str">
        <f t="shared" si="0"/>
        <v>Ev altri figli</v>
      </c>
    </row>
    <row r="39" spans="1:7" x14ac:dyDescent="0.25">
      <c r="A39" s="403" t="s">
        <v>611</v>
      </c>
      <c r="B39" s="470" t="s">
        <v>2692</v>
      </c>
      <c r="C39" s="401" t="s">
        <v>669</v>
      </c>
      <c r="D39" s="401" t="s">
        <v>688</v>
      </c>
      <c r="E39" s="401" t="s">
        <v>707</v>
      </c>
      <c r="F39" s="401" t="s">
        <v>727</v>
      </c>
      <c r="G39" s="400" t="str">
        <f t="shared" si="0"/>
        <v>Cittadinanza</v>
      </c>
    </row>
    <row r="40" spans="1:7" x14ac:dyDescent="0.25">
      <c r="A40" s="403" t="s">
        <v>612</v>
      </c>
      <c r="B40" s="470" t="s">
        <v>613</v>
      </c>
      <c r="C40" s="401" t="s">
        <v>670</v>
      </c>
      <c r="D40" s="401" t="s">
        <v>689</v>
      </c>
      <c r="E40" s="401" t="s">
        <v>708</v>
      </c>
      <c r="F40" s="401" t="s">
        <v>728</v>
      </c>
      <c r="G40" s="400" t="str">
        <f t="shared" si="0"/>
        <v>Tipo permesso/i</v>
      </c>
    </row>
    <row r="41" spans="1:7" x14ac:dyDescent="0.25">
      <c r="A41" s="403" t="s">
        <v>614</v>
      </c>
      <c r="B41" s="470" t="s">
        <v>615</v>
      </c>
      <c r="C41" s="401" t="s">
        <v>671</v>
      </c>
      <c r="D41" s="401" t="s">
        <v>690</v>
      </c>
      <c r="E41" s="401" t="s">
        <v>709</v>
      </c>
      <c r="F41" s="401" t="s">
        <v>729</v>
      </c>
      <c r="G41" s="400" t="str">
        <f t="shared" si="0"/>
        <v>Reddito LORDO</v>
      </c>
    </row>
    <row r="42" spans="1:7" x14ac:dyDescent="0.25">
      <c r="A42" s="403" t="s">
        <v>616</v>
      </c>
      <c r="B42" s="470" t="s">
        <v>2693</v>
      </c>
      <c r="C42" s="401" t="s">
        <v>672</v>
      </c>
      <c r="D42" s="401" t="s">
        <v>691</v>
      </c>
      <c r="E42" s="401" t="s">
        <v>710</v>
      </c>
      <c r="F42" s="401" t="s">
        <v>730</v>
      </c>
      <c r="G42" s="400" t="str">
        <f t="shared" si="0"/>
        <v>Frequenza x1 o X12 o X13?</v>
      </c>
    </row>
    <row r="43" spans="1:7" x14ac:dyDescent="0.25">
      <c r="A43" s="403" t="s">
        <v>2660</v>
      </c>
      <c r="B43" s="470" t="s">
        <v>623</v>
      </c>
      <c r="C43" s="401" t="s">
        <v>673</v>
      </c>
      <c r="D43" s="401" t="s">
        <v>692</v>
      </c>
      <c r="E43" s="401" t="s">
        <v>711</v>
      </c>
      <c r="F43" s="401" t="s">
        <v>731</v>
      </c>
      <c r="G43" s="400" t="str">
        <f t="shared" si="0"/>
        <v>Anno del primo contributo In Svizzera</v>
      </c>
    </row>
    <row r="44" spans="1:7" ht="25" x14ac:dyDescent="0.25">
      <c r="A44" s="403" t="s">
        <v>2637</v>
      </c>
      <c r="B44" s="470" t="s">
        <v>2694</v>
      </c>
      <c r="C44" s="401" t="s">
        <v>674</v>
      </c>
      <c r="D44" s="401" t="s">
        <v>693</v>
      </c>
      <c r="E44" s="401" t="s">
        <v>712</v>
      </c>
      <c r="F44" s="401" t="s">
        <v>732</v>
      </c>
      <c r="G44" s="400" t="str">
        <f t="shared" si="0"/>
        <v xml:space="preserve">Fabbisogno minimo vitale mensile in caso di decesso del coniuge </v>
      </c>
    </row>
    <row r="45" spans="1:7" ht="25" x14ac:dyDescent="0.25">
      <c r="A45" s="403" t="s">
        <v>2638</v>
      </c>
      <c r="B45" s="470" t="s">
        <v>624</v>
      </c>
      <c r="C45" s="401" t="s">
        <v>675</v>
      </c>
      <c r="D45" s="401" t="s">
        <v>694</v>
      </c>
      <c r="E45" s="401" t="s">
        <v>713</v>
      </c>
      <c r="F45" s="401" t="s">
        <v>733</v>
      </c>
      <c r="G45" s="400" t="str">
        <f t="shared" si="0"/>
        <v xml:space="preserve">Fabbisogno mensile  in caso di invalidità o pensione:              </v>
      </c>
    </row>
    <row r="46" spans="1:7" ht="25" x14ac:dyDescent="0.25">
      <c r="A46" s="403" t="s">
        <v>2639</v>
      </c>
      <c r="B46" s="470" t="s">
        <v>625</v>
      </c>
      <c r="C46" s="401" t="s">
        <v>676</v>
      </c>
      <c r="D46" s="401" t="s">
        <v>695</v>
      </c>
      <c r="E46" s="401" t="s">
        <v>714</v>
      </c>
      <c r="F46" s="401" t="s">
        <v>734</v>
      </c>
      <c r="G46" s="400" t="str">
        <f t="shared" si="0"/>
        <v>Capitali necessari per liquidazione impegni in caso di decesso</v>
      </c>
    </row>
    <row r="47" spans="1:7" ht="25" x14ac:dyDescent="0.25">
      <c r="A47" s="403" t="s">
        <v>4542</v>
      </c>
      <c r="B47" s="470" t="s">
        <v>4540</v>
      </c>
      <c r="C47" s="401" t="s">
        <v>4541</v>
      </c>
      <c r="D47" s="401" t="s">
        <v>4543</v>
      </c>
      <c r="E47" s="401" t="s">
        <v>715</v>
      </c>
      <c r="F47" s="401" t="s">
        <v>4544</v>
      </c>
      <c r="G47" s="400" t="str">
        <f t="shared" si="0"/>
        <v>LACUNE: N. Anni senza lavoro o in disoccupazione  (n. no testo)</v>
      </c>
    </row>
    <row r="48" spans="1:7" x14ac:dyDescent="0.25">
      <c r="A48" s="403" t="s">
        <v>297</v>
      </c>
      <c r="B48" s="470" t="s">
        <v>626</v>
      </c>
      <c r="C48" s="401" t="s">
        <v>677</v>
      </c>
      <c r="D48" s="401" t="s">
        <v>696</v>
      </c>
      <c r="E48" s="401" t="s">
        <v>716</v>
      </c>
      <c r="F48" s="401" t="s">
        <v>735</v>
      </c>
      <c r="G48" s="400" t="str">
        <f t="shared" si="0"/>
        <v>Tipo di reddito</v>
      </c>
    </row>
    <row r="49" spans="1:7" x14ac:dyDescent="0.25">
      <c r="A49" s="403" t="s">
        <v>627</v>
      </c>
      <c r="B49" s="470" t="s">
        <v>628</v>
      </c>
      <c r="C49" s="401" t="s">
        <v>678</v>
      </c>
      <c r="D49" s="401" t="s">
        <v>697</v>
      </c>
      <c r="E49" s="401" t="s">
        <v>717</v>
      </c>
      <c r="F49" s="401" t="s">
        <v>736</v>
      </c>
      <c r="G49" s="400" t="str">
        <f t="shared" si="0"/>
        <v>Professione appresa</v>
      </c>
    </row>
    <row r="50" spans="1:7" x14ac:dyDescent="0.25">
      <c r="A50" s="400" t="s">
        <v>629</v>
      </c>
      <c r="B50" s="470" t="s">
        <v>630</v>
      </c>
      <c r="C50" s="401" t="s">
        <v>679</v>
      </c>
      <c r="D50" s="401" t="s">
        <v>698</v>
      </c>
      <c r="E50" s="401" t="s">
        <v>718</v>
      </c>
      <c r="F50" s="401" t="s">
        <v>737</v>
      </c>
      <c r="G50" s="400" t="str">
        <f t="shared" si="0"/>
        <v>Professione esercitata</v>
      </c>
    </row>
    <row r="51" spans="1:7" x14ac:dyDescent="0.25">
      <c r="A51" s="400" t="s">
        <v>631</v>
      </c>
      <c r="B51" s="470" t="s">
        <v>2695</v>
      </c>
      <c r="C51" s="401" t="s">
        <v>680</v>
      </c>
      <c r="D51" s="401" t="s">
        <v>699</v>
      </c>
      <c r="E51" s="401" t="s">
        <v>719</v>
      </c>
      <c r="F51" s="401" t="s">
        <v>738</v>
      </c>
      <c r="G51" s="400" t="str">
        <f t="shared" si="0"/>
        <v xml:space="preserve">Percentuale lavorativa </v>
      </c>
    </row>
    <row r="52" spans="1:7" x14ac:dyDescent="0.25">
      <c r="A52" s="400" t="s">
        <v>2897</v>
      </c>
      <c r="B52" s="470" t="s">
        <v>632</v>
      </c>
      <c r="C52" s="401" t="s">
        <v>2896</v>
      </c>
      <c r="D52" s="401" t="s">
        <v>2898</v>
      </c>
      <c r="E52" s="401" t="s">
        <v>2899</v>
      </c>
      <c r="F52" s="401" t="s">
        <v>2900</v>
      </c>
      <c r="G52" s="400" t="str">
        <f t="shared" si="0"/>
        <v xml:space="preserve">Fumatore?                                       </v>
      </c>
    </row>
    <row r="53" spans="1:7" x14ac:dyDescent="0.25">
      <c r="A53" s="403" t="s">
        <v>666</v>
      </c>
      <c r="B53" s="470" t="s">
        <v>633</v>
      </c>
      <c r="C53" s="401" t="s">
        <v>681</v>
      </c>
      <c r="D53" s="401" t="s">
        <v>700</v>
      </c>
      <c r="E53" s="401" t="s">
        <v>720</v>
      </c>
      <c r="F53" s="401" t="s">
        <v>739</v>
      </c>
      <c r="G53" s="400" t="str">
        <f t="shared" si="0"/>
        <v xml:space="preserve">Assicurato LPP (1=si, / 0=NO)? </v>
      </c>
    </row>
    <row r="54" spans="1:7" x14ac:dyDescent="0.25">
      <c r="A54" s="403" t="s">
        <v>667</v>
      </c>
      <c r="B54" s="470" t="s">
        <v>634</v>
      </c>
      <c r="C54" s="401" t="s">
        <v>682</v>
      </c>
      <c r="D54" s="401" t="s">
        <v>701</v>
      </c>
      <c r="E54" s="401" t="s">
        <v>721</v>
      </c>
      <c r="F54" s="401" t="s">
        <v>740</v>
      </c>
      <c r="G54" s="400" t="str">
        <f t="shared" si="0"/>
        <v>Assicuraz. AMPG (1=si, / 0=NO)</v>
      </c>
    </row>
    <row r="55" spans="1:7" x14ac:dyDescent="0.25">
      <c r="A55" s="403" t="str">
        <f>IF(B48='Sigle per Analisi'!B27,'Sigle per Analisi'!B78,IF(C48='Sigle per Analisi'!B27,'Sigle per Analisi'!B78,""))</f>
        <v/>
      </c>
      <c r="B55" s="470"/>
      <c r="C55" s="401"/>
      <c r="D55" s="400"/>
      <c r="E55" s="400"/>
      <c r="F55" s="400"/>
      <c r="G55" s="400" t="str">
        <f t="shared" si="0"/>
        <v/>
      </c>
    </row>
    <row r="56" spans="1:7" x14ac:dyDescent="0.25">
      <c r="A56" s="403" t="str">
        <f>IF(B48='Sigle per Analisi'!B27,'Sigle per Analisi'!B79,IF(C48='Sigle per Analisi'!B27,'Sigle per Analisi'!B79,""))</f>
        <v/>
      </c>
      <c r="B56" s="470"/>
      <c r="C56" s="401"/>
      <c r="D56" s="400"/>
      <c r="E56" s="400"/>
      <c r="F56" s="400"/>
      <c r="G56" s="400" t="str">
        <f t="shared" si="0"/>
        <v/>
      </c>
    </row>
    <row r="57" spans="1:7" x14ac:dyDescent="0.25">
      <c r="A57" s="403" t="s">
        <v>668</v>
      </c>
      <c r="B57" s="470" t="s">
        <v>2696</v>
      </c>
      <c r="C57" s="401" t="s">
        <v>683</v>
      </c>
      <c r="D57" s="401" t="s">
        <v>702</v>
      </c>
      <c r="E57" s="401" t="s">
        <v>722</v>
      </c>
      <c r="F57" s="401" t="s">
        <v>741</v>
      </c>
      <c r="G57" s="400" t="str">
        <f t="shared" si="0"/>
        <v xml:space="preserve">Ev. prelevamenti gia fatti da LPP (importo) </v>
      </c>
    </row>
    <row r="58" spans="1:7" x14ac:dyDescent="0.25">
      <c r="A58" s="403"/>
      <c r="B58" s="470"/>
      <c r="C58" s="401"/>
      <c r="D58" s="400"/>
      <c r="E58" s="400"/>
      <c r="F58" s="400"/>
      <c r="G58" s="400">
        <f t="shared" si="0"/>
        <v>0</v>
      </c>
    </row>
    <row r="59" spans="1:7" x14ac:dyDescent="0.25">
      <c r="A59" s="403" t="s">
        <v>621</v>
      </c>
      <c r="B59" s="470" t="s">
        <v>622</v>
      </c>
      <c r="C59" s="401" t="s">
        <v>684</v>
      </c>
      <c r="D59" s="401" t="s">
        <v>703</v>
      </c>
      <c r="E59" s="401" t="s">
        <v>723</v>
      </c>
      <c r="F59" s="401" t="s">
        <v>742</v>
      </c>
      <c r="G59" s="400" t="str">
        <f t="shared" si="0"/>
        <v>Affitto mensile</v>
      </c>
    </row>
    <row r="60" spans="1:7" x14ac:dyDescent="0.25">
      <c r="A60" s="403" t="s">
        <v>619</v>
      </c>
      <c r="B60" s="470" t="s">
        <v>620</v>
      </c>
      <c r="C60" s="401" t="s">
        <v>685</v>
      </c>
      <c r="D60" s="401" t="s">
        <v>704</v>
      </c>
      <c r="E60" s="401" t="s">
        <v>724</v>
      </c>
      <c r="F60" s="401" t="s">
        <v>743</v>
      </c>
      <c r="G60" s="400" t="str">
        <f t="shared" si="0"/>
        <v>Da quando all'attuale domicilio</v>
      </c>
    </row>
    <row r="61" spans="1:7" x14ac:dyDescent="0.25">
      <c r="A61" s="401" t="s">
        <v>617</v>
      </c>
      <c r="B61" s="470" t="s">
        <v>2697</v>
      </c>
      <c r="C61" s="401" t="s">
        <v>686</v>
      </c>
      <c r="D61" s="401" t="s">
        <v>705</v>
      </c>
      <c r="E61" s="401" t="s">
        <v>725</v>
      </c>
      <c r="F61" s="401" t="s">
        <v>744</v>
      </c>
      <c r="G61" s="400" t="str">
        <f t="shared" si="0"/>
        <v xml:space="preserve">Indennità Giorn.x infort % SUL REDDITO </v>
      </c>
    </row>
    <row r="62" spans="1:7" x14ac:dyDescent="0.25">
      <c r="A62" s="401" t="s">
        <v>618</v>
      </c>
      <c r="B62" s="470" t="s">
        <v>2698</v>
      </c>
      <c r="C62" s="401" t="s">
        <v>687</v>
      </c>
      <c r="D62" s="401" t="s">
        <v>706</v>
      </c>
      <c r="E62" s="401" t="s">
        <v>726</v>
      </c>
      <c r="F62" s="401" t="s">
        <v>745</v>
      </c>
      <c r="G62" s="400" t="str">
        <f t="shared" si="0"/>
        <v xml:space="preserve">Indennità Giorn.x malattia % SUL REDDITO </v>
      </c>
    </row>
    <row r="63" spans="1:7" ht="52" customHeight="1" x14ac:dyDescent="0.25">
      <c r="A63" s="400" t="s">
        <v>746</v>
      </c>
      <c r="B63" s="470" t="s">
        <v>747</v>
      </c>
      <c r="C63" s="401" t="s">
        <v>804</v>
      </c>
      <c r="D63" s="401" t="s">
        <v>847</v>
      </c>
      <c r="E63" s="401" t="s">
        <v>890</v>
      </c>
      <c r="F63" s="401" t="s">
        <v>933</v>
      </c>
      <c r="G63" s="400" t="str">
        <f t="shared" si="0"/>
        <v xml:space="preserve">RISPARMIO E INVESTIMENTO: LA REGOLA DEL 3X10% </v>
      </c>
    </row>
    <row r="64" spans="1:7" ht="25" x14ac:dyDescent="0.25">
      <c r="A64" s="403" t="s">
        <v>760</v>
      </c>
      <c r="B64" s="470" t="s">
        <v>2699</v>
      </c>
      <c r="C64" s="401" t="s">
        <v>805</v>
      </c>
      <c r="D64" s="401" t="s">
        <v>848</v>
      </c>
      <c r="E64" s="401" t="s">
        <v>891</v>
      </c>
      <c r="F64" s="401" t="s">
        <v>934</v>
      </c>
      <c r="G64" s="400" t="str">
        <f t="shared" si="0"/>
        <v xml:space="preserve">Terzi pilastri e investimenti attuali: società, premi, investimenti </v>
      </c>
    </row>
    <row r="65" spans="1:7" x14ac:dyDescent="0.25">
      <c r="A65" s="400" t="s">
        <v>748</v>
      </c>
      <c r="B65" s="470" t="s">
        <v>749</v>
      </c>
      <c r="C65" s="401" t="s">
        <v>806</v>
      </c>
      <c r="D65" s="401" t="s">
        <v>849</v>
      </c>
      <c r="E65" s="401" t="s">
        <v>892</v>
      </c>
      <c r="F65" s="401" t="s">
        <v>935</v>
      </c>
      <c r="G65" s="400" t="str">
        <f t="shared" si="0"/>
        <v>Figli</v>
      </c>
    </row>
    <row r="66" spans="1:7" x14ac:dyDescent="0.25">
      <c r="A66" s="403" t="s">
        <v>2640</v>
      </c>
      <c r="B66" s="470" t="s">
        <v>750</v>
      </c>
      <c r="C66" s="401" t="s">
        <v>807</v>
      </c>
      <c r="D66" s="401" t="s">
        <v>850</v>
      </c>
      <c r="E66" s="401" t="s">
        <v>893</v>
      </c>
      <c r="F66" s="401" t="s">
        <v>936</v>
      </c>
      <c r="G66" s="400" t="str">
        <f t="shared" si="0"/>
        <v xml:space="preserve">Risparmio attuale mensile                       </v>
      </c>
    </row>
    <row r="67" spans="1:7" ht="25" x14ac:dyDescent="0.25">
      <c r="A67" s="403" t="s">
        <v>2641</v>
      </c>
      <c r="B67" s="470" t="s">
        <v>2700</v>
      </c>
      <c r="C67" s="401" t="s">
        <v>808</v>
      </c>
      <c r="D67" s="401" t="s">
        <v>851</v>
      </c>
      <c r="E67" s="401" t="s">
        <v>894</v>
      </c>
      <c r="F67" s="401" t="s">
        <v>937</v>
      </c>
      <c r="G67" s="400" t="str">
        <f t="shared" si="0"/>
        <v xml:space="preserve">Risparmio ideale mensile (per raggiung. obiettivi)                                                                        </v>
      </c>
    </row>
    <row r="68" spans="1:7" x14ac:dyDescent="0.25">
      <c r="A68" s="403" t="s">
        <v>2642</v>
      </c>
      <c r="B68" s="470" t="s">
        <v>751</v>
      </c>
      <c r="C68" s="401" t="s">
        <v>809</v>
      </c>
      <c r="D68" s="401" t="s">
        <v>852</v>
      </c>
      <c r="E68" s="401" t="s">
        <v>895</v>
      </c>
      <c r="F68" s="401" t="s">
        <v>938</v>
      </c>
      <c r="G68" s="400" t="str">
        <f t="shared" si="0"/>
        <v xml:space="preserve">Capitale a disposizione                                   </v>
      </c>
    </row>
    <row r="69" spans="1:7" x14ac:dyDescent="0.25">
      <c r="A69" s="403" t="s">
        <v>2643</v>
      </c>
      <c r="B69" s="470" t="s">
        <v>752</v>
      </c>
      <c r="C69" s="401" t="s">
        <v>810</v>
      </c>
      <c r="D69" s="401" t="s">
        <v>853</v>
      </c>
      <c r="E69" s="401" t="s">
        <v>896</v>
      </c>
      <c r="F69" s="401" t="s">
        <v>939</v>
      </c>
      <c r="G69" s="400" t="str">
        <f t="shared" ref="G69:G132" si="1">IF($C$1="IT",A69,IF($C$1="DE",B69,IF($C$1="FR",C69,IF($C$1="PT",D69,IF($C$1="RU",E69,IF($C$1="EN",F69,A69))))))</f>
        <v xml:space="preserve">in % della disponibilità                                                      </v>
      </c>
    </row>
    <row r="70" spans="1:7" ht="25" x14ac:dyDescent="0.25">
      <c r="A70" s="403" t="s">
        <v>2644</v>
      </c>
      <c r="B70" s="470" t="s">
        <v>2701</v>
      </c>
      <c r="C70" s="401" t="s">
        <v>811</v>
      </c>
      <c r="D70" s="401" t="s">
        <v>854</v>
      </c>
      <c r="E70" s="401" t="s">
        <v>897</v>
      </c>
      <c r="F70" s="401" t="s">
        <v>940</v>
      </c>
      <c r="G70" s="400" t="str">
        <f t="shared" si="1"/>
        <v xml:space="preserve">Note per un offerta di un piano di risparmio / 3. pilastro: </v>
      </c>
    </row>
    <row r="71" spans="1:7" ht="25" x14ac:dyDescent="0.25">
      <c r="A71" s="403" t="s">
        <v>2645</v>
      </c>
      <c r="B71" s="470" t="s">
        <v>753</v>
      </c>
      <c r="C71" s="401" t="s">
        <v>812</v>
      </c>
      <c r="D71" s="401" t="s">
        <v>855</v>
      </c>
      <c r="E71" s="401" t="s">
        <v>898</v>
      </c>
      <c r="F71" s="401" t="s">
        <v>941</v>
      </c>
      <c r="G71" s="400" t="str">
        <f t="shared" si="1"/>
        <v xml:space="preserve">Dispo per offerta di risparmio con OPP3:(al mese) - </v>
      </c>
    </row>
    <row r="72" spans="1:7" ht="13" x14ac:dyDescent="0.25">
      <c r="A72" s="404" t="s">
        <v>2646</v>
      </c>
      <c r="B72" s="470" t="s">
        <v>754</v>
      </c>
      <c r="C72" s="401" t="s">
        <v>813</v>
      </c>
      <c r="D72" s="401" t="s">
        <v>856</v>
      </c>
      <c r="E72" s="401" t="s">
        <v>899</v>
      </c>
      <c r="F72" s="401" t="s">
        <v>942</v>
      </c>
      <c r="G72" s="400" t="str">
        <f t="shared" si="1"/>
        <v>Breve termine - 0-3 anni - 0.0%-0.2%</v>
      </c>
    </row>
    <row r="73" spans="1:7" ht="13" x14ac:dyDescent="0.25">
      <c r="A73" s="404" t="s">
        <v>757</v>
      </c>
      <c r="B73" s="470" t="s">
        <v>755</v>
      </c>
      <c r="C73" s="401" t="s">
        <v>814</v>
      </c>
      <c r="D73" s="401" t="s">
        <v>857</v>
      </c>
      <c r="E73" s="401" t="s">
        <v>900</v>
      </c>
      <c r="F73" s="401" t="s">
        <v>943</v>
      </c>
      <c r="G73" s="400" t="str">
        <f t="shared" si="1"/>
        <v>Medio Termine 4-8 a. 3%-5%</v>
      </c>
    </row>
    <row r="74" spans="1:7" ht="12.5" customHeight="1" x14ac:dyDescent="0.25">
      <c r="A74" s="400" t="s">
        <v>756</v>
      </c>
      <c r="B74" s="470" t="s">
        <v>2702</v>
      </c>
      <c r="C74" s="401" t="s">
        <v>815</v>
      </c>
      <c r="D74" s="401" t="s">
        <v>858</v>
      </c>
      <c r="E74" s="401" t="s">
        <v>901</v>
      </c>
      <c r="F74" s="401" t="s">
        <v>944</v>
      </c>
      <c r="G74" s="400" t="str">
        <f t="shared" si="1"/>
        <v xml:space="preserve">Lungo Termine  &gt;9 ./ J. 18% - 21%, inclusi vantaggi fiscali </v>
      </c>
    </row>
    <row r="75" spans="1:7" ht="33.5" customHeight="1" x14ac:dyDescent="0.25">
      <c r="A75" s="400" t="s">
        <v>759</v>
      </c>
      <c r="B75" s="470" t="s">
        <v>758</v>
      </c>
      <c r="C75" s="401" t="s">
        <v>816</v>
      </c>
      <c r="D75" s="401" t="s">
        <v>859</v>
      </c>
      <c r="E75" s="401" t="s">
        <v>902</v>
      </c>
      <c r="F75" s="401" t="s">
        <v>945</v>
      </c>
      <c r="G75" s="400" t="str">
        <f t="shared" si="1"/>
        <v xml:space="preserve">VANTAGGI FISCALI </v>
      </c>
    </row>
    <row r="76" spans="1:7" x14ac:dyDescent="0.25">
      <c r="A76" s="400" t="s">
        <v>766</v>
      </c>
      <c r="B76" s="470" t="s">
        <v>761</v>
      </c>
      <c r="C76" s="401" t="s">
        <v>817</v>
      </c>
      <c r="D76" s="401" t="s">
        <v>860</v>
      </c>
      <c r="E76" s="401" t="s">
        <v>903</v>
      </c>
      <c r="F76" s="401" t="s">
        <v>946</v>
      </c>
      <c r="G76" s="400" t="str">
        <f t="shared" si="1"/>
        <v xml:space="preserve">Imposte pagate all'anno </v>
      </c>
    </row>
    <row r="77" spans="1:7" x14ac:dyDescent="0.25">
      <c r="A77" s="400" t="s">
        <v>767</v>
      </c>
      <c r="B77" s="470" t="s">
        <v>762</v>
      </c>
      <c r="C77" s="401" t="s">
        <v>818</v>
      </c>
      <c r="D77" s="401" t="s">
        <v>861</v>
      </c>
      <c r="E77" s="401" t="s">
        <v>904</v>
      </c>
      <c r="F77" s="401" t="s">
        <v>947</v>
      </c>
      <c r="G77" s="400" t="str">
        <f t="shared" si="1"/>
        <v xml:space="preserve">Tassazione ordinaria o alla fonte? </v>
      </c>
    </row>
    <row r="78" spans="1:7" x14ac:dyDescent="0.25">
      <c r="A78" s="400" t="s">
        <v>768</v>
      </c>
      <c r="B78" s="470" t="s">
        <v>763</v>
      </c>
      <c r="C78" s="401" t="s">
        <v>819</v>
      </c>
      <c r="D78" s="401" t="s">
        <v>862</v>
      </c>
      <c r="E78" s="401" t="s">
        <v>905</v>
      </c>
      <c r="F78" s="401" t="s">
        <v>948</v>
      </c>
      <c r="G78" s="400" t="str">
        <f t="shared" si="1"/>
        <v xml:space="preserve">90% dei redditi provengono da CH?         </v>
      </c>
    </row>
    <row r="79" spans="1:7" ht="25" x14ac:dyDescent="0.25">
      <c r="A79" s="405" t="s">
        <v>764</v>
      </c>
      <c r="B79" s="470" t="s">
        <v>765</v>
      </c>
      <c r="C79" s="401" t="s">
        <v>820</v>
      </c>
      <c r="D79" s="401" t="s">
        <v>863</v>
      </c>
      <c r="E79" s="401" t="s">
        <v>906</v>
      </c>
      <c r="F79" s="401" t="s">
        <v>949</v>
      </c>
      <c r="G79" s="400" t="str">
        <f t="shared" si="1"/>
        <v xml:space="preserve">Già effettuata una verifica dei possibili risparmi fiscali(OPP3)?                                             </v>
      </c>
    </row>
    <row r="80" spans="1:7" ht="41.5" customHeight="1" x14ac:dyDescent="0.25">
      <c r="A80" s="400" t="s">
        <v>769</v>
      </c>
      <c r="B80" s="470" t="s">
        <v>2703</v>
      </c>
      <c r="C80" s="401" t="s">
        <v>821</v>
      </c>
      <c r="D80" s="401" t="s">
        <v>864</v>
      </c>
      <c r="E80" s="401" t="s">
        <v>907</v>
      </c>
      <c r="F80" s="401" t="s">
        <v>950</v>
      </c>
      <c r="G80" s="400" t="str">
        <f t="shared" si="1"/>
        <v xml:space="preserve">FINANZIABILITÀ E ABITAZIONE DI PROPRIETÀ  </v>
      </c>
    </row>
    <row r="81" spans="1:7" x14ac:dyDescent="0.25">
      <c r="A81" s="400" t="s">
        <v>775</v>
      </c>
      <c r="B81" s="470" t="s">
        <v>2704</v>
      </c>
      <c r="C81" s="401" t="s">
        <v>822</v>
      </c>
      <c r="D81" s="401" t="s">
        <v>865</v>
      </c>
      <c r="E81" s="401" t="s">
        <v>908</v>
      </c>
      <c r="F81" s="401" t="s">
        <v>951</v>
      </c>
      <c r="G81" s="400" t="str">
        <f t="shared" si="1"/>
        <v xml:space="preserve">CASH + 3 PIL + INVESTIMENTI      </v>
      </c>
    </row>
    <row r="82" spans="1:7" x14ac:dyDescent="0.25">
      <c r="A82" s="400" t="s">
        <v>776</v>
      </c>
      <c r="B82" s="470" t="s">
        <v>770</v>
      </c>
      <c r="C82" s="401" t="s">
        <v>823</v>
      </c>
      <c r="D82" s="401" t="s">
        <v>866</v>
      </c>
      <c r="E82" s="401" t="s">
        <v>909</v>
      </c>
      <c r="F82" s="401" t="s">
        <v>952</v>
      </c>
      <c r="G82" s="400" t="str">
        <f t="shared" si="1"/>
        <v xml:space="preserve">Capitale disponible su LPP per abitazione </v>
      </c>
    </row>
    <row r="83" spans="1:7" x14ac:dyDescent="0.25">
      <c r="A83" s="400" t="s">
        <v>777</v>
      </c>
      <c r="B83" s="470" t="s">
        <v>771</v>
      </c>
      <c r="C83" s="401" t="s">
        <v>824</v>
      </c>
      <c r="D83" s="401" t="s">
        <v>867</v>
      </c>
      <c r="E83" s="401" t="s">
        <v>910</v>
      </c>
      <c r="F83" s="401" t="s">
        <v>953</v>
      </c>
      <c r="G83" s="400" t="str">
        <f t="shared" si="1"/>
        <v xml:space="preserve">Capitali da eredità, ecc…    </v>
      </c>
    </row>
    <row r="84" spans="1:7" x14ac:dyDescent="0.25">
      <c r="A84" s="400" t="s">
        <v>778</v>
      </c>
      <c r="B84" s="470" t="s">
        <v>772</v>
      </c>
      <c r="C84" s="401" t="s">
        <v>825</v>
      </c>
      <c r="D84" s="401" t="s">
        <v>868</v>
      </c>
      <c r="E84" s="401" t="s">
        <v>911</v>
      </c>
      <c r="F84" s="401" t="s">
        <v>954</v>
      </c>
      <c r="G84" s="400" t="str">
        <f t="shared" si="1"/>
        <v>Valore dei lavori che potrebbe fare in proprio</v>
      </c>
    </row>
    <row r="85" spans="1:7" x14ac:dyDescent="0.25">
      <c r="A85" s="400" t="s">
        <v>2657</v>
      </c>
      <c r="B85" s="470" t="s">
        <v>773</v>
      </c>
      <c r="C85" s="401" t="s">
        <v>826</v>
      </c>
      <c r="D85" s="401" t="s">
        <v>869</v>
      </c>
      <c r="E85" s="401" t="s">
        <v>912</v>
      </c>
      <c r="F85" s="401" t="s">
        <v>955</v>
      </c>
      <c r="G85" s="400" t="str">
        <f t="shared" si="1"/>
        <v>Importo mensile di rate per crediti o leasing</v>
      </c>
    </row>
    <row r="86" spans="1:7" x14ac:dyDescent="0.25">
      <c r="A86" s="400" t="s">
        <v>2658</v>
      </c>
      <c r="B86" s="470" t="s">
        <v>774</v>
      </c>
      <c r="C86" s="401" t="s">
        <v>827</v>
      </c>
      <c r="D86" s="401" t="s">
        <v>870</v>
      </c>
      <c r="E86" s="401" t="s">
        <v>913</v>
      </c>
      <c r="F86" s="401" t="s">
        <v>956</v>
      </c>
      <c r="G86" s="400" t="str">
        <f t="shared" si="1"/>
        <v>Importo attuale dei debiti da crediti privati:</v>
      </c>
    </row>
    <row r="87" spans="1:7" ht="41.5" customHeight="1" x14ac:dyDescent="0.25">
      <c r="A87" s="400" t="s">
        <v>779</v>
      </c>
      <c r="B87" s="470" t="s">
        <v>2705</v>
      </c>
      <c r="C87" s="401" t="s">
        <v>828</v>
      </c>
      <c r="D87" s="401" t="s">
        <v>871</v>
      </c>
      <c r="E87" s="401" t="s">
        <v>914</v>
      </c>
      <c r="F87" s="401" t="s">
        <v>957</v>
      </c>
      <c r="G87" s="400" t="str">
        <f t="shared" si="1"/>
        <v xml:space="preserve">PROPOSTA DI FINANZIAMENTO O RIFINANZIAMENTO DI UN IMMOBILE -                           </v>
      </c>
    </row>
    <row r="88" spans="1:7" ht="25" x14ac:dyDescent="0.25">
      <c r="A88" s="400" t="s">
        <v>785</v>
      </c>
      <c r="B88" s="470" t="s">
        <v>2706</v>
      </c>
      <c r="C88" s="401" t="s">
        <v>829</v>
      </c>
      <c r="D88" s="401" t="s">
        <v>872</v>
      </c>
      <c r="E88" s="401" t="s">
        <v>915</v>
      </c>
      <c r="F88" s="401" t="s">
        <v>958</v>
      </c>
      <c r="G88" s="400" t="str">
        <f t="shared" si="1"/>
        <v xml:space="preserve">Valore attuale dell'immobile o prezzo di acquisto: il minore dei due      </v>
      </c>
    </row>
    <row r="89" spans="1:7" x14ac:dyDescent="0.25">
      <c r="A89" s="400" t="s">
        <v>786</v>
      </c>
      <c r="B89" s="470" t="s">
        <v>2707</v>
      </c>
      <c r="C89" s="401" t="s">
        <v>830</v>
      </c>
      <c r="D89" s="401" t="s">
        <v>873</v>
      </c>
      <c r="E89" s="401" t="s">
        <v>916</v>
      </c>
      <c r="F89" s="401" t="s">
        <v>959</v>
      </c>
      <c r="G89" s="400" t="str">
        <f t="shared" si="1"/>
        <v>Eventuali costi di ristrutturazione</v>
      </c>
    </row>
    <row r="90" spans="1:7" x14ac:dyDescent="0.25">
      <c r="A90" s="400" t="s">
        <v>787</v>
      </c>
      <c r="B90" s="470" t="s">
        <v>780</v>
      </c>
      <c r="C90" s="401" t="s">
        <v>831</v>
      </c>
      <c r="D90" s="401" t="s">
        <v>874</v>
      </c>
      <c r="E90" s="401" t="s">
        <v>917</v>
      </c>
      <c r="F90" s="401" t="s">
        <v>960</v>
      </c>
      <c r="G90" s="400" t="str">
        <f t="shared" si="1"/>
        <v>Descrizione/denominazione dell'oggetto:</v>
      </c>
    </row>
    <row r="91" spans="1:7" ht="25" x14ac:dyDescent="0.25">
      <c r="A91" s="400" t="s">
        <v>788</v>
      </c>
      <c r="B91" s="470" t="s">
        <v>781</v>
      </c>
      <c r="C91" s="401" t="s">
        <v>832</v>
      </c>
      <c r="D91" s="401" t="s">
        <v>875</v>
      </c>
      <c r="E91" s="401" t="s">
        <v>918</v>
      </c>
      <c r="F91" s="401" t="s">
        <v>961</v>
      </c>
      <c r="G91" s="400" t="str">
        <f t="shared" si="1"/>
        <v>Eventuali incassi per affitti IMPORTO ANNUO</v>
      </c>
    </row>
    <row r="92" spans="1:7" x14ac:dyDescent="0.25">
      <c r="A92" s="400" t="s">
        <v>789</v>
      </c>
      <c r="B92" s="470" t="s">
        <v>782</v>
      </c>
      <c r="C92" s="401" t="s">
        <v>833</v>
      </c>
      <c r="D92" s="401" t="s">
        <v>876</v>
      </c>
      <c r="E92" s="401" t="s">
        <v>919</v>
      </c>
      <c r="F92" s="401" t="s">
        <v>962</v>
      </c>
      <c r="G92" s="400" t="str">
        <f t="shared" si="1"/>
        <v xml:space="preserve">Importo mensile di rate per Ipoteca o mutui </v>
      </c>
    </row>
    <row r="93" spans="1:7" x14ac:dyDescent="0.25">
      <c r="A93" s="400" t="s">
        <v>790</v>
      </c>
      <c r="B93" s="470" t="s">
        <v>2708</v>
      </c>
      <c r="C93" s="401" t="s">
        <v>834</v>
      </c>
      <c r="D93" s="401" t="s">
        <v>877</v>
      </c>
      <c r="E93" s="401" t="s">
        <v>920</v>
      </c>
      <c r="F93" s="401" t="s">
        <v>963</v>
      </c>
      <c r="G93" s="400" t="str">
        <f t="shared" si="1"/>
        <v>Importo attuale del debito ipotecario</v>
      </c>
    </row>
    <row r="94" spans="1:7" x14ac:dyDescent="0.25">
      <c r="A94" s="400" t="s">
        <v>791</v>
      </c>
      <c r="B94" s="470" t="s">
        <v>2709</v>
      </c>
      <c r="C94" s="401" t="s">
        <v>835</v>
      </c>
      <c r="D94" s="401" t="s">
        <v>878</v>
      </c>
      <c r="E94" s="401" t="s">
        <v>921</v>
      </c>
      <c r="F94" s="401" t="s">
        <v>964</v>
      </c>
      <c r="G94" s="400" t="str">
        <f t="shared" si="1"/>
        <v xml:space="preserve">Istituto di credito                       </v>
      </c>
    </row>
    <row r="95" spans="1:7" x14ac:dyDescent="0.25">
      <c r="A95" s="400" t="s">
        <v>792</v>
      </c>
      <c r="B95" s="470" t="s">
        <v>783</v>
      </c>
      <c r="C95" s="401" t="s">
        <v>836</v>
      </c>
      <c r="D95" s="401" t="s">
        <v>879</v>
      </c>
      <c r="E95" s="401" t="s">
        <v>922</v>
      </c>
      <c r="F95" s="401" t="s">
        <v>965</v>
      </c>
      <c r="G95" s="400" t="str">
        <f t="shared" si="1"/>
        <v xml:space="preserve">Tasso di interesse ipotecario </v>
      </c>
    </row>
    <row r="96" spans="1:7" x14ac:dyDescent="0.25">
      <c r="A96" s="400" t="s">
        <v>793</v>
      </c>
      <c r="B96" s="470" t="s">
        <v>2710</v>
      </c>
      <c r="C96" s="401" t="s">
        <v>837</v>
      </c>
      <c r="D96" s="401" t="s">
        <v>880</v>
      </c>
      <c r="E96" s="401" t="s">
        <v>923</v>
      </c>
      <c r="F96" s="401" t="s">
        <v>966</v>
      </c>
      <c r="G96" s="400" t="str">
        <f t="shared" si="1"/>
        <v xml:space="preserve">Scadenza del contratto / tasso fisso / </v>
      </c>
    </row>
    <row r="97" spans="1:7" ht="25" x14ac:dyDescent="0.25">
      <c r="A97" s="400" t="s">
        <v>794</v>
      </c>
      <c r="B97" s="470" t="s">
        <v>784</v>
      </c>
      <c r="C97" s="401" t="s">
        <v>838</v>
      </c>
      <c r="D97" s="401" t="s">
        <v>881</v>
      </c>
      <c r="E97" s="401" t="s">
        <v>924</v>
      </c>
      <c r="F97" s="401" t="s">
        <v>967</v>
      </c>
      <c r="G97" s="400" t="str">
        <f t="shared" si="1"/>
        <v xml:space="preserve">Ammortamento (importo e tipologia, dir./ indir) </v>
      </c>
    </row>
    <row r="98" spans="1:7" ht="42.5" customHeight="1" x14ac:dyDescent="0.25">
      <c r="A98" s="400" t="s">
        <v>803</v>
      </c>
      <c r="B98" s="470" t="s">
        <v>2711</v>
      </c>
      <c r="C98" s="401" t="s">
        <v>839</v>
      </c>
      <c r="D98" s="401" t="s">
        <v>882</v>
      </c>
      <c r="E98" s="401" t="s">
        <v>925</v>
      </c>
      <c r="F98" s="401" t="s">
        <v>968</v>
      </c>
      <c r="G98" s="400" t="str">
        <f t="shared" si="1"/>
        <v xml:space="preserve">ASSICURAZIONE SANITARIA   </v>
      </c>
    </row>
    <row r="99" spans="1:7" x14ac:dyDescent="0.25">
      <c r="A99" s="406" t="s">
        <v>2647</v>
      </c>
      <c r="B99" s="470" t="s">
        <v>2712</v>
      </c>
      <c r="C99" s="401" t="s">
        <v>840</v>
      </c>
      <c r="D99" s="401" t="s">
        <v>883</v>
      </c>
      <c r="E99" s="401" t="s">
        <v>926</v>
      </c>
      <c r="F99" s="401" t="s">
        <v>969</v>
      </c>
      <c r="G99" s="400" t="str">
        <f t="shared" si="1"/>
        <v xml:space="preserve">Quanto paga di cassa malati al mese?          </v>
      </c>
    </row>
    <row r="100" spans="1:7" x14ac:dyDescent="0.25">
      <c r="A100" s="406" t="s">
        <v>795</v>
      </c>
      <c r="B100" s="470" t="s">
        <v>2713</v>
      </c>
      <c r="C100" s="401" t="s">
        <v>841</v>
      </c>
      <c r="D100" s="401" t="s">
        <v>884</v>
      </c>
      <c r="E100" s="401" t="s">
        <v>927</v>
      </c>
      <c r="F100" s="401" t="s">
        <v>970</v>
      </c>
      <c r="G100" s="400" t="str">
        <f t="shared" si="1"/>
        <v xml:space="preserve">Compagnia LAMal                                       </v>
      </c>
    </row>
    <row r="101" spans="1:7" x14ac:dyDescent="0.25">
      <c r="A101" s="406" t="s">
        <v>796</v>
      </c>
      <c r="B101" s="470" t="s">
        <v>797</v>
      </c>
      <c r="C101" s="401" t="s">
        <v>842</v>
      </c>
      <c r="D101" s="401" t="s">
        <v>885</v>
      </c>
      <c r="E101" s="401" t="s">
        <v>928</v>
      </c>
      <c r="F101" s="401" t="s">
        <v>971</v>
      </c>
      <c r="G101" s="400" t="str">
        <f t="shared" si="1"/>
        <v xml:space="preserve">Compagnia LCA                                              </v>
      </c>
    </row>
    <row r="102" spans="1:7" x14ac:dyDescent="0.25">
      <c r="A102" s="406" t="s">
        <v>798</v>
      </c>
      <c r="B102" s="470" t="s">
        <v>2714</v>
      </c>
      <c r="C102" s="401" t="s">
        <v>843</v>
      </c>
      <c r="D102" s="401" t="s">
        <v>886</v>
      </c>
      <c r="E102" s="401" t="s">
        <v>929</v>
      </c>
      <c r="F102" s="401" t="s">
        <v>972</v>
      </c>
      <c r="G102" s="400" t="str">
        <f t="shared" si="1"/>
        <v xml:space="preserve">Franchigia LAMal?                                  </v>
      </c>
    </row>
    <row r="103" spans="1:7" x14ac:dyDescent="0.25">
      <c r="A103" s="406" t="s">
        <v>799</v>
      </c>
      <c r="B103" s="470" t="s">
        <v>2715</v>
      </c>
      <c r="C103" s="401" t="s">
        <v>844</v>
      </c>
      <c r="D103" s="401" t="s">
        <v>887</v>
      </c>
      <c r="E103" s="401" t="s">
        <v>930</v>
      </c>
      <c r="F103" s="401" t="s">
        <v>973</v>
      </c>
      <c r="G103" s="400" t="str">
        <f t="shared" si="1"/>
        <v xml:space="preserve">Franchigia desiderata?                        </v>
      </c>
    </row>
    <row r="104" spans="1:7" x14ac:dyDescent="0.25">
      <c r="A104" s="406" t="s">
        <v>800</v>
      </c>
      <c r="B104" s="470" t="s">
        <v>2716</v>
      </c>
      <c r="C104" s="401" t="s">
        <v>845</v>
      </c>
      <c r="D104" s="401" t="s">
        <v>888</v>
      </c>
      <c r="E104" s="401" t="s">
        <v>931</v>
      </c>
      <c r="F104" s="401" t="s">
        <v>974</v>
      </c>
      <c r="G104" s="400" t="str">
        <f t="shared" si="1"/>
        <v xml:space="preserve">Categoria: 1=adulto/ 2=0-18 /3=g19-26  </v>
      </c>
    </row>
    <row r="105" spans="1:7" x14ac:dyDescent="0.25">
      <c r="A105" s="406" t="s">
        <v>801</v>
      </c>
      <c r="B105" s="470" t="s">
        <v>802</v>
      </c>
      <c r="C105" s="401" t="s">
        <v>846</v>
      </c>
      <c r="D105" s="401" t="s">
        <v>889</v>
      </c>
      <c r="E105" s="401" t="s">
        <v>932</v>
      </c>
      <c r="F105" s="401" t="s">
        <v>975</v>
      </c>
      <c r="G105" s="400" t="str">
        <f t="shared" si="1"/>
        <v xml:space="preserve">Stato di salute attuale?             </v>
      </c>
    </row>
    <row r="106" spans="1:7" ht="75" customHeight="1" x14ac:dyDescent="0.25">
      <c r="A106" s="400" t="s">
        <v>976</v>
      </c>
      <c r="B106" s="470" t="s">
        <v>2717</v>
      </c>
      <c r="C106" s="401" t="s">
        <v>1012</v>
      </c>
      <c r="D106" s="401" t="s">
        <v>1023</v>
      </c>
      <c r="E106" s="401" t="s">
        <v>1038</v>
      </c>
      <c r="F106" s="401" t="s">
        <v>1056</v>
      </c>
      <c r="G106" s="400" t="str">
        <f t="shared" si="1"/>
        <v xml:space="preserve">QUALI DI QUESTE COPERTURE SAREBBERO DESIDERATE SE COSTASSERO SOLO POCHI FRANCHI O SE FOSSERO COMPRESE? (0 / 1 per un analisi automatizzata) </v>
      </c>
    </row>
    <row r="107" spans="1:7" ht="13" x14ac:dyDescent="0.3">
      <c r="A107" s="427" t="s">
        <v>977</v>
      </c>
      <c r="B107" s="470" t="s">
        <v>1006</v>
      </c>
      <c r="C107" s="401" t="s">
        <v>1009</v>
      </c>
      <c r="D107" s="401" t="s">
        <v>1024</v>
      </c>
      <c r="E107" s="401" t="s">
        <v>1039</v>
      </c>
      <c r="F107" s="401" t="s">
        <v>1057</v>
      </c>
      <c r="G107" s="400" t="str">
        <f t="shared" si="1"/>
        <v>ESISTENTE PER CLIENTE?</v>
      </c>
    </row>
    <row r="108" spans="1:7" x14ac:dyDescent="0.25">
      <c r="A108" s="400" t="s">
        <v>979</v>
      </c>
      <c r="B108" s="470" t="s">
        <v>1007</v>
      </c>
      <c r="C108" s="401" t="s">
        <v>1010</v>
      </c>
      <c r="D108" s="401" t="s">
        <v>1025</v>
      </c>
      <c r="E108" s="401" t="s">
        <v>1040</v>
      </c>
      <c r="F108" s="401" t="s">
        <v>1058</v>
      </c>
      <c r="G108" s="400" t="str">
        <f t="shared" si="1"/>
        <v>ESISTENTE PER PARTNER?</v>
      </c>
    </row>
    <row r="109" spans="1:7" x14ac:dyDescent="0.25">
      <c r="A109" s="400" t="s">
        <v>978</v>
      </c>
      <c r="B109" s="470" t="s">
        <v>1008</v>
      </c>
      <c r="C109" s="401" t="s">
        <v>1011</v>
      </c>
      <c r="D109" s="401" t="s">
        <v>1026</v>
      </c>
      <c r="E109" s="401" t="s">
        <v>1041</v>
      </c>
      <c r="F109" s="401" t="s">
        <v>1059</v>
      </c>
      <c r="G109" s="400" t="str">
        <f t="shared" si="1"/>
        <v>ESISTENTE?</v>
      </c>
    </row>
    <row r="110" spans="1:7" x14ac:dyDescent="0.25">
      <c r="A110" s="400" t="s">
        <v>980</v>
      </c>
      <c r="B110" s="470" t="s">
        <v>1000</v>
      </c>
      <c r="C110" s="401" t="s">
        <v>1003</v>
      </c>
      <c r="D110" s="401" t="s">
        <v>1027</v>
      </c>
      <c r="E110" s="401" t="s">
        <v>1042</v>
      </c>
      <c r="F110" s="401" t="s">
        <v>1060</v>
      </c>
      <c r="G110" s="400" t="str">
        <f t="shared" si="1"/>
        <v xml:space="preserve">DESIDERATA PER CLIENTE?  (1 / 0) </v>
      </c>
    </row>
    <row r="111" spans="1:7" x14ac:dyDescent="0.25">
      <c r="A111" s="400" t="s">
        <v>981</v>
      </c>
      <c r="B111" s="470" t="s">
        <v>1001</v>
      </c>
      <c r="C111" s="401" t="s">
        <v>1004</v>
      </c>
      <c r="D111" s="401" t="s">
        <v>1028</v>
      </c>
      <c r="E111" s="401" t="s">
        <v>1043</v>
      </c>
      <c r="F111" s="401" t="s">
        <v>1061</v>
      </c>
      <c r="G111" s="400" t="str">
        <f t="shared" si="1"/>
        <v>DESIDERATA PER PARTNER? (1 / 0)</v>
      </c>
    </row>
    <row r="112" spans="1:7" x14ac:dyDescent="0.25">
      <c r="A112" s="400" t="s">
        <v>982</v>
      </c>
      <c r="B112" s="470" t="s">
        <v>1002</v>
      </c>
      <c r="C112" s="401" t="s">
        <v>1005</v>
      </c>
      <c r="D112" s="401" t="s">
        <v>1029</v>
      </c>
      <c r="E112" s="401" t="s">
        <v>1044</v>
      </c>
      <c r="F112" s="401" t="s">
        <v>1062</v>
      </c>
      <c r="G112" s="400" t="str">
        <f t="shared" si="1"/>
        <v>DESIDERATA PER FIGLI?(1 / 0)</v>
      </c>
    </row>
    <row r="113" spans="1:7" x14ac:dyDescent="0.25">
      <c r="A113" s="407" t="s">
        <v>983</v>
      </c>
      <c r="B113" s="470" t="s">
        <v>984</v>
      </c>
      <c r="C113" s="401" t="s">
        <v>1013</v>
      </c>
      <c r="D113" s="401" t="s">
        <v>1030</v>
      </c>
      <c r="E113" s="401" t="s">
        <v>1045</v>
      </c>
      <c r="F113" s="401" t="s">
        <v>1063</v>
      </c>
      <c r="G113" s="400" t="str">
        <f t="shared" si="1"/>
        <v xml:space="preserve">Libera scelta medici e ospedali </v>
      </c>
    </row>
    <row r="114" spans="1:7" x14ac:dyDescent="0.25">
      <c r="A114" s="407" t="s">
        <v>2800</v>
      </c>
      <c r="B114" t="s">
        <v>2801</v>
      </c>
      <c r="C114" t="s">
        <v>2802</v>
      </c>
      <c r="D114" t="s">
        <v>2803</v>
      </c>
      <c r="E114" t="s">
        <v>1660</v>
      </c>
      <c r="F114" t="s">
        <v>2804</v>
      </c>
      <c r="G114" s="400" t="str">
        <f t="shared" si="1"/>
        <v>Privata/semiprivata</v>
      </c>
    </row>
    <row r="115" spans="1:7" x14ac:dyDescent="0.25">
      <c r="A115" s="407" t="s">
        <v>993</v>
      </c>
      <c r="B115" s="470" t="s">
        <v>2718</v>
      </c>
      <c r="C115" s="401" t="s">
        <v>1015</v>
      </c>
      <c r="D115" s="401" t="s">
        <v>1032</v>
      </c>
      <c r="E115" s="401" t="s">
        <v>1047</v>
      </c>
      <c r="F115" s="401" t="s">
        <v>1065</v>
      </c>
      <c r="G115" s="400" t="str">
        <f t="shared" si="1"/>
        <v xml:space="preserve">Dentistista </v>
      </c>
    </row>
    <row r="116" spans="1:7" x14ac:dyDescent="0.25">
      <c r="A116" s="407" t="s">
        <v>398</v>
      </c>
      <c r="B116" s="470" t="s">
        <v>398</v>
      </c>
      <c r="C116" s="401" t="s">
        <v>398</v>
      </c>
      <c r="D116" s="401" t="s">
        <v>398</v>
      </c>
      <c r="E116" s="401" t="s">
        <v>1048</v>
      </c>
      <c r="F116" s="401" t="s">
        <v>398</v>
      </c>
      <c r="G116" s="400" t="str">
        <f t="shared" si="1"/>
        <v>Fitness</v>
      </c>
    </row>
    <row r="117" spans="1:7" x14ac:dyDescent="0.25">
      <c r="A117" s="407" t="s">
        <v>994</v>
      </c>
      <c r="B117" s="470" t="s">
        <v>986</v>
      </c>
      <c r="C117" s="401" t="s">
        <v>1016</v>
      </c>
      <c r="D117" s="401" t="s">
        <v>1033</v>
      </c>
      <c r="E117" s="401" t="s">
        <v>1049</v>
      </c>
      <c r="F117" s="401" t="s">
        <v>1066</v>
      </c>
      <c r="G117" s="400" t="str">
        <f t="shared" si="1"/>
        <v xml:space="preserve">Occhiali e Lenti a contatto </v>
      </c>
    </row>
    <row r="118" spans="1:7" x14ac:dyDescent="0.25">
      <c r="A118" s="407" t="s">
        <v>995</v>
      </c>
      <c r="B118" s="470" t="s">
        <v>987</v>
      </c>
      <c r="C118" s="401" t="s">
        <v>1017</v>
      </c>
      <c r="D118" s="401" t="s">
        <v>1034</v>
      </c>
      <c r="E118" s="401" t="s">
        <v>1050</v>
      </c>
      <c r="F118" s="401" t="s">
        <v>1067</v>
      </c>
      <c r="G118" s="400" t="str">
        <f t="shared" si="1"/>
        <v xml:space="preserve">Assistenza domiciliare </v>
      </c>
    </row>
    <row r="119" spans="1:7" x14ac:dyDescent="0.25">
      <c r="A119" s="407" t="s">
        <v>382</v>
      </c>
      <c r="B119" s="470" t="s">
        <v>378</v>
      </c>
      <c r="C119" s="401" t="s">
        <v>1018</v>
      </c>
      <c r="D119" s="401" t="s">
        <v>1018</v>
      </c>
      <c r="E119" s="401" t="s">
        <v>1051</v>
      </c>
      <c r="F119" s="401" t="s">
        <v>1018</v>
      </c>
      <c r="G119" s="400" t="str">
        <f t="shared" si="1"/>
        <v>Chec-kup</v>
      </c>
    </row>
    <row r="120" spans="1:7" x14ac:dyDescent="0.25">
      <c r="A120" s="407" t="s">
        <v>996</v>
      </c>
      <c r="B120" s="470" t="s">
        <v>988</v>
      </c>
      <c r="C120" s="401" t="s">
        <v>1019</v>
      </c>
      <c r="D120" s="401" t="s">
        <v>1035</v>
      </c>
      <c r="E120" s="401" t="s">
        <v>1052</v>
      </c>
      <c r="F120" s="401" t="s">
        <v>1068</v>
      </c>
      <c r="G120" s="400" t="str">
        <f t="shared" si="1"/>
        <v xml:space="preserve">Prevenzione ginecologica </v>
      </c>
    </row>
    <row r="121" spans="1:7" x14ac:dyDescent="0.25">
      <c r="A121" s="407" t="s">
        <v>992</v>
      </c>
      <c r="B121" s="470" t="s">
        <v>985</v>
      </c>
      <c r="C121" s="401" t="s">
        <v>1014</v>
      </c>
      <c r="D121" s="401" t="s">
        <v>1031</v>
      </c>
      <c r="E121" s="401" t="s">
        <v>1046</v>
      </c>
      <c r="F121" s="401" t="s">
        <v>1064</v>
      </c>
      <c r="G121" s="400" t="str">
        <f t="shared" si="1"/>
        <v xml:space="preserve">Trasporto e salvataggio </v>
      </c>
    </row>
    <row r="122" spans="1:7" x14ac:dyDescent="0.25">
      <c r="A122" s="407" t="s">
        <v>997</v>
      </c>
      <c r="B122" s="470" t="s">
        <v>989</v>
      </c>
      <c r="C122" s="401" t="s">
        <v>1020</v>
      </c>
      <c r="D122" s="401" t="s">
        <v>208</v>
      </c>
      <c r="E122" s="401" t="s">
        <v>1053</v>
      </c>
      <c r="F122" s="401" t="s">
        <v>1069</v>
      </c>
      <c r="G122" s="400" t="str">
        <f t="shared" si="1"/>
        <v xml:space="preserve">Medicina alternativa </v>
      </c>
    </row>
    <row r="123" spans="1:7" x14ac:dyDescent="0.25">
      <c r="A123" s="407" t="s">
        <v>998</v>
      </c>
      <c r="B123" s="470" t="s">
        <v>990</v>
      </c>
      <c r="C123" s="401" t="s">
        <v>1021</v>
      </c>
      <c r="D123" s="401" t="s">
        <v>1036</v>
      </c>
      <c r="E123" s="401" t="s">
        <v>1054</v>
      </c>
      <c r="F123" s="401" t="s">
        <v>1070</v>
      </c>
      <c r="G123" s="400" t="str">
        <f t="shared" si="1"/>
        <v xml:space="preserve">Medicianli fuorilista </v>
      </c>
    </row>
    <row r="124" spans="1:7" x14ac:dyDescent="0.25">
      <c r="A124" s="407" t="s">
        <v>999</v>
      </c>
      <c r="B124" s="470" t="s">
        <v>991</v>
      </c>
      <c r="C124" s="401" t="s">
        <v>1022</v>
      </c>
      <c r="D124" s="401" t="s">
        <v>1037</v>
      </c>
      <c r="E124" s="401" t="s">
        <v>1055</v>
      </c>
      <c r="F124" s="401" t="s">
        <v>1071</v>
      </c>
      <c r="G124" s="400" t="str">
        <f t="shared" si="1"/>
        <v xml:space="preserve">Altro </v>
      </c>
    </row>
    <row r="125" spans="1:7" ht="66.5" customHeight="1" x14ac:dyDescent="0.25">
      <c r="A125" s="400" t="s">
        <v>1078</v>
      </c>
      <c r="B125" s="470" t="s">
        <v>1072</v>
      </c>
      <c r="C125" s="401" t="s">
        <v>1084</v>
      </c>
      <c r="D125" s="401" t="s">
        <v>1093</v>
      </c>
      <c r="E125" s="401" t="s">
        <v>1102</v>
      </c>
      <c r="F125" s="401" t="s">
        <v>1111</v>
      </c>
      <c r="G125" s="400" t="str">
        <f t="shared" si="1"/>
        <v xml:space="preserve">ASSICURAZIONI DI COSE E PATRIMONIALI                               </v>
      </c>
    </row>
    <row r="126" spans="1:7" x14ac:dyDescent="0.25">
      <c r="A126" s="408" t="s">
        <v>1079</v>
      </c>
      <c r="B126" s="470" t="s">
        <v>1073</v>
      </c>
      <c r="C126" s="401" t="s">
        <v>1085</v>
      </c>
      <c r="D126" s="401" t="s">
        <v>1094</v>
      </c>
      <c r="E126" s="401" t="s">
        <v>1103</v>
      </c>
      <c r="F126" s="401" t="s">
        <v>1112</v>
      </c>
      <c r="G126" s="400" t="str">
        <f t="shared" si="1"/>
        <v>PRIORITÀ</v>
      </c>
    </row>
    <row r="127" spans="1:7" x14ac:dyDescent="0.25">
      <c r="A127" s="408" t="s">
        <v>1080</v>
      </c>
      <c r="B127" s="470" t="s">
        <v>1074</v>
      </c>
      <c r="C127" s="401" t="s">
        <v>1086</v>
      </c>
      <c r="D127" s="401" t="s">
        <v>1095</v>
      </c>
      <c r="E127" s="401" t="s">
        <v>1104</v>
      </c>
      <c r="F127" s="401" t="s">
        <v>1113</v>
      </c>
      <c r="G127" s="400" t="str">
        <f t="shared" si="1"/>
        <v>PREMIO</v>
      </c>
    </row>
    <row r="128" spans="1:7" x14ac:dyDescent="0.25">
      <c r="A128" s="400" t="s">
        <v>1081</v>
      </c>
      <c r="B128" s="470" t="s">
        <v>1075</v>
      </c>
      <c r="C128" s="401" t="s">
        <v>1087</v>
      </c>
      <c r="D128" s="401" t="s">
        <v>1096</v>
      </c>
      <c r="E128" s="401" t="s">
        <v>1105</v>
      </c>
      <c r="F128" s="401" t="s">
        <v>1114</v>
      </c>
      <c r="G128" s="400" t="str">
        <f t="shared" si="1"/>
        <v xml:space="preserve">COMPAGNIA ATTUALE </v>
      </c>
    </row>
    <row r="129" spans="1:7" x14ac:dyDescent="0.25">
      <c r="A129" s="400" t="s">
        <v>2648</v>
      </c>
      <c r="B129" s="470" t="s">
        <v>3305</v>
      </c>
      <c r="C129" s="401" t="s">
        <v>1088</v>
      </c>
      <c r="D129" s="401" t="s">
        <v>1097</v>
      </c>
      <c r="E129" s="401" t="s">
        <v>1106</v>
      </c>
      <c r="F129" s="401" t="s">
        <v>1115</v>
      </c>
      <c r="G129" s="400" t="str">
        <f t="shared" si="1"/>
        <v xml:space="preserve">Economia Domestica e RC               </v>
      </c>
    </row>
    <row r="130" spans="1:7" x14ac:dyDescent="0.25">
      <c r="A130" s="400" t="s">
        <v>1082</v>
      </c>
      <c r="B130" s="470" t="s">
        <v>2719</v>
      </c>
      <c r="C130" s="401" t="s">
        <v>1089</v>
      </c>
      <c r="D130" s="401" t="s">
        <v>1098</v>
      </c>
      <c r="E130" s="401" t="s">
        <v>1107</v>
      </c>
      <c r="F130" s="401" t="s">
        <v>1116</v>
      </c>
      <c r="G130" s="400" t="str">
        <f t="shared" si="1"/>
        <v xml:space="preserve">Assicurazione stabili </v>
      </c>
    </row>
    <row r="131" spans="1:7" x14ac:dyDescent="0.25">
      <c r="A131" s="400" t="s">
        <v>1083</v>
      </c>
      <c r="B131" s="470" t="s">
        <v>1076</v>
      </c>
      <c r="C131" s="401" t="s">
        <v>1090</v>
      </c>
      <c r="D131" s="401" t="s">
        <v>1099</v>
      </c>
      <c r="E131" s="401" t="s">
        <v>1108</v>
      </c>
      <c r="F131" s="401" t="s">
        <v>1117</v>
      </c>
      <c r="G131" s="400" t="str">
        <f t="shared" si="1"/>
        <v xml:space="preserve">Protezione giuridica </v>
      </c>
    </row>
    <row r="132" spans="1:7" x14ac:dyDescent="0.25">
      <c r="A132" s="400" t="s">
        <v>2649</v>
      </c>
      <c r="B132" s="470" t="s">
        <v>2720</v>
      </c>
      <c r="C132" s="401" t="s">
        <v>1091</v>
      </c>
      <c r="D132" s="401" t="s">
        <v>1100</v>
      </c>
      <c r="E132" s="401" t="s">
        <v>1109</v>
      </c>
      <c r="F132" s="401" t="s">
        <v>1118</v>
      </c>
      <c r="G132" s="400" t="str">
        <f t="shared" si="1"/>
        <v xml:space="preserve">Assicurazioni auto </v>
      </c>
    </row>
    <row r="133" spans="1:7" x14ac:dyDescent="0.25">
      <c r="A133" s="400" t="s">
        <v>2650</v>
      </c>
      <c r="B133" s="470" t="s">
        <v>1077</v>
      </c>
      <c r="C133" s="401" t="s">
        <v>1092</v>
      </c>
      <c r="D133" s="401" t="s">
        <v>1101</v>
      </c>
      <c r="E133" s="401" t="s">
        <v>1110</v>
      </c>
      <c r="F133" s="401" t="s">
        <v>1119</v>
      </c>
      <c r="G133" s="400" t="str">
        <f t="shared" ref="G133:G196" si="2">IF($C$1="IT",A133,IF($C$1="DE",B133,IF($C$1="FR",C133,IF($C$1="PT",D133,IF($C$1="RU",E133,IF($C$1="EN",F133,A133))))))</f>
        <v xml:space="preserve">Altre assicurazioni:                         </v>
      </c>
    </row>
    <row r="134" spans="1:7" ht="38" customHeight="1" x14ac:dyDescent="0.25">
      <c r="A134" s="400" t="s">
        <v>1121</v>
      </c>
      <c r="B134" s="470" t="s">
        <v>1129</v>
      </c>
      <c r="C134" s="401" t="s">
        <v>1136</v>
      </c>
      <c r="D134" s="401" t="s">
        <v>1147</v>
      </c>
      <c r="E134" s="401" t="s">
        <v>1158</v>
      </c>
      <c r="F134" s="401" t="s">
        <v>1169</v>
      </c>
      <c r="G134" s="400" t="str">
        <f t="shared" si="2"/>
        <v xml:space="preserve">SICUREZZA E FUTURO DEI FIGLI  </v>
      </c>
    </row>
    <row r="135" spans="1:7" ht="39.5" customHeight="1" x14ac:dyDescent="0.25">
      <c r="A135" s="400" t="s">
        <v>1122</v>
      </c>
      <c r="B135" s="470" t="s">
        <v>2721</v>
      </c>
      <c r="C135" s="401" t="s">
        <v>1137</v>
      </c>
      <c r="D135" s="401" t="s">
        <v>1148</v>
      </c>
      <c r="E135" s="401" t="s">
        <v>1159</v>
      </c>
      <c r="F135" s="401" t="s">
        <v>1170</v>
      </c>
      <c r="G135" s="400" t="str">
        <f t="shared" si="2"/>
        <v xml:space="preserve">È interessato/a a un calcolo preventivo dei costi degli studi e dei relativi piani di finanziamento </v>
      </c>
    </row>
    <row r="136" spans="1:7" ht="28" customHeight="1" x14ac:dyDescent="0.25">
      <c r="A136" s="400" t="s">
        <v>1123</v>
      </c>
      <c r="B136" s="470" t="s">
        <v>2722</v>
      </c>
      <c r="C136" s="401" t="s">
        <v>1138</v>
      </c>
      <c r="D136" s="401" t="s">
        <v>1149</v>
      </c>
      <c r="E136" s="401" t="s">
        <v>1160</v>
      </c>
      <c r="F136" s="401" t="s">
        <v>1171</v>
      </c>
      <c r="G136" s="400" t="str">
        <f t="shared" si="2"/>
        <v xml:space="preserve">interessato a garantire la sicurezza del futuro dei figli anche in caso di invalidità o decesso? </v>
      </c>
    </row>
    <row r="137" spans="1:7" ht="25" x14ac:dyDescent="0.25">
      <c r="A137" s="400" t="s">
        <v>1124</v>
      </c>
      <c r="B137" s="470" t="s">
        <v>2723</v>
      </c>
      <c r="C137" s="401" t="s">
        <v>1139</v>
      </c>
      <c r="D137" s="401" t="s">
        <v>1150</v>
      </c>
      <c r="E137" s="401" t="s">
        <v>1161</v>
      </c>
      <c r="F137" s="401" t="s">
        <v>1172</v>
      </c>
      <c r="G137" s="400" t="str">
        <f t="shared" si="2"/>
        <v xml:space="preserve">Piani di risparmio per i figli, società e risparmio mensile </v>
      </c>
    </row>
    <row r="138" spans="1:7" x14ac:dyDescent="0.25">
      <c r="A138" s="400" t="s">
        <v>321</v>
      </c>
      <c r="B138" s="470" t="s">
        <v>1130</v>
      </c>
      <c r="C138" s="401" t="s">
        <v>1140</v>
      </c>
      <c r="D138" s="401" t="s">
        <v>1151</v>
      </c>
      <c r="E138" s="401" t="s">
        <v>1162</v>
      </c>
      <c r="F138" s="401" t="s">
        <v>1173</v>
      </c>
      <c r="G138" s="400" t="str">
        <f t="shared" si="2"/>
        <v>Figlio</v>
      </c>
    </row>
    <row r="139" spans="1:7" x14ac:dyDescent="0.25">
      <c r="A139" s="408" t="s">
        <v>2651</v>
      </c>
      <c r="B139" s="470" t="s">
        <v>1131</v>
      </c>
      <c r="C139" s="401" t="s">
        <v>1141</v>
      </c>
      <c r="D139" s="401" t="s">
        <v>1152</v>
      </c>
      <c r="E139" s="401" t="s">
        <v>1163</v>
      </c>
      <c r="F139" s="401" t="s">
        <v>1174</v>
      </c>
      <c r="G139" s="400" t="str">
        <f t="shared" si="2"/>
        <v xml:space="preserve">Livello di studi </v>
      </c>
    </row>
    <row r="140" spans="1:7" x14ac:dyDescent="0.25">
      <c r="A140" s="408" t="s">
        <v>1125</v>
      </c>
      <c r="B140" s="470" t="s">
        <v>1132</v>
      </c>
      <c r="C140" s="401" t="s">
        <v>1142</v>
      </c>
      <c r="D140" s="401" t="s">
        <v>1153</v>
      </c>
      <c r="E140" s="401" t="s">
        <v>1164</v>
      </c>
      <c r="F140" s="401" t="s">
        <v>1175</v>
      </c>
      <c r="G140" s="400" t="str">
        <f t="shared" si="2"/>
        <v xml:space="preserve">Luogo degli studi </v>
      </c>
    </row>
    <row r="141" spans="1:7" x14ac:dyDescent="0.25">
      <c r="A141" s="400" t="s">
        <v>1126</v>
      </c>
      <c r="B141" s="470" t="s">
        <v>1133</v>
      </c>
      <c r="C141" s="401" t="s">
        <v>1143</v>
      </c>
      <c r="D141" s="401" t="s">
        <v>1154</v>
      </c>
      <c r="E141" s="401" t="s">
        <v>1165</v>
      </c>
      <c r="F141" s="401" t="s">
        <v>1176</v>
      </c>
      <c r="G141" s="400" t="str">
        <f t="shared" si="2"/>
        <v xml:space="preserve">Durata degli studi </v>
      </c>
    </row>
    <row r="142" spans="1:7" x14ac:dyDescent="0.25">
      <c r="A142" s="400" t="s">
        <v>1127</v>
      </c>
      <c r="B142" s="470" t="s">
        <v>1134</v>
      </c>
      <c r="C142" s="401" t="s">
        <v>1144</v>
      </c>
      <c r="D142" s="401" t="s">
        <v>1155</v>
      </c>
      <c r="E142" s="401" t="s">
        <v>1166</v>
      </c>
      <c r="F142" s="401" t="s">
        <v>1177</v>
      </c>
      <c r="G142" s="400" t="str">
        <f t="shared" si="2"/>
        <v xml:space="preserve">COSTO presumibile  </v>
      </c>
    </row>
    <row r="143" spans="1:7" x14ac:dyDescent="0.25">
      <c r="A143" s="400" t="s">
        <v>1128</v>
      </c>
      <c r="B143" s="470" t="s">
        <v>1135</v>
      </c>
      <c r="C143" s="401" t="s">
        <v>1145</v>
      </c>
      <c r="D143" s="401" t="s">
        <v>1156</v>
      </c>
      <c r="E143" s="401" t="s">
        <v>1167</v>
      </c>
      <c r="F143" s="401" t="s">
        <v>1178</v>
      </c>
      <c r="G143" s="400" t="str">
        <f t="shared" si="2"/>
        <v xml:space="preserve">Capitale già disponibile </v>
      </c>
    </row>
    <row r="144" spans="1:7" ht="25" x14ac:dyDescent="0.25">
      <c r="A144" s="400" t="s">
        <v>1120</v>
      </c>
      <c r="B144" s="470" t="s">
        <v>2724</v>
      </c>
      <c r="C144" s="401" t="s">
        <v>1146</v>
      </c>
      <c r="D144" s="401" t="s">
        <v>1157</v>
      </c>
      <c r="E144" s="401" t="s">
        <v>1168</v>
      </c>
      <c r="F144" s="401" t="s">
        <v>1179</v>
      </c>
      <c r="G144" s="400" t="str">
        <f t="shared" si="2"/>
        <v xml:space="preserve">Quanto potrebbe/vorrebbe  investire il cliente in totale al mese per il futuro dei propri figli? </v>
      </c>
    </row>
    <row r="145" spans="1:7" ht="45.5" customHeight="1" x14ac:dyDescent="0.25">
      <c r="A145" s="400" t="s">
        <v>1180</v>
      </c>
      <c r="B145" s="470" t="s">
        <v>1189</v>
      </c>
      <c r="C145" s="401" t="s">
        <v>1196</v>
      </c>
      <c r="D145" s="401" t="s">
        <v>1206</v>
      </c>
      <c r="E145" s="401" t="s">
        <v>1216</v>
      </c>
      <c r="F145" s="401" t="s">
        <v>1226</v>
      </c>
      <c r="G145" s="400" t="str">
        <f t="shared" si="2"/>
        <v xml:space="preserve">VALUTAZIONE </v>
      </c>
    </row>
    <row r="146" spans="1:7" x14ac:dyDescent="0.25">
      <c r="A146" s="403" t="s">
        <v>1181</v>
      </c>
      <c r="B146" s="470" t="s">
        <v>1190</v>
      </c>
      <c r="C146" s="401" t="s">
        <v>1197</v>
      </c>
      <c r="D146" s="401" t="s">
        <v>1207</v>
      </c>
      <c r="E146" s="401" t="s">
        <v>1217</v>
      </c>
      <c r="F146" s="401" t="s">
        <v>1227</v>
      </c>
      <c r="G146" s="400" t="str">
        <f t="shared" si="2"/>
        <v>Diritto a vedovanza</v>
      </c>
    </row>
    <row r="147" spans="1:7" x14ac:dyDescent="0.25">
      <c r="A147" s="403" t="s">
        <v>1182</v>
      </c>
      <c r="B147" s="470" t="s">
        <v>2725</v>
      </c>
      <c r="C147" s="401" t="s">
        <v>1198</v>
      </c>
      <c r="D147" s="401" t="s">
        <v>1208</v>
      </c>
      <c r="E147" s="401" t="s">
        <v>1218</v>
      </c>
      <c r="F147" s="401" t="s">
        <v>1228</v>
      </c>
      <c r="G147" s="400" t="str">
        <f t="shared" si="2"/>
        <v xml:space="preserve">Diritto a rendite AI (5 anni di contr.) </v>
      </c>
    </row>
    <row r="148" spans="1:7" x14ac:dyDescent="0.25">
      <c r="A148" s="403" t="s">
        <v>1183</v>
      </c>
      <c r="B148" s="470" t="s">
        <v>1191</v>
      </c>
      <c r="C148" s="401" t="s">
        <v>1199</v>
      </c>
      <c r="D148" s="401" t="s">
        <v>1209</v>
      </c>
      <c r="E148" s="401" t="s">
        <v>1219</v>
      </c>
      <c r="F148" s="401" t="s">
        <v>1229</v>
      </c>
      <c r="G148" s="400" t="str">
        <f t="shared" si="2"/>
        <v xml:space="preserve">Rendita AVS/AI antesplitting </v>
      </c>
    </row>
    <row r="149" spans="1:7" x14ac:dyDescent="0.25">
      <c r="A149" s="403" t="s">
        <v>1184</v>
      </c>
      <c r="B149" s="470" t="s">
        <v>1192</v>
      </c>
      <c r="C149" s="401" t="s">
        <v>1200</v>
      </c>
      <c r="D149" s="401" t="s">
        <v>1210</v>
      </c>
      <c r="E149" s="401" t="s">
        <v>1220</v>
      </c>
      <c r="F149" s="401" t="s">
        <v>1230</v>
      </c>
      <c r="G149" s="400" t="str">
        <f t="shared" si="2"/>
        <v>Rendita AVS/AI Postsplitting</v>
      </c>
    </row>
    <row r="150" spans="1:7" x14ac:dyDescent="0.25">
      <c r="A150" s="403" t="s">
        <v>1185</v>
      </c>
      <c r="B150" s="470" t="s">
        <v>2726</v>
      </c>
      <c r="C150" s="401" t="s">
        <v>1201</v>
      </c>
      <c r="D150" s="401" t="s">
        <v>1211</v>
      </c>
      <c r="E150" s="401" t="s">
        <v>1221</v>
      </c>
      <c r="F150" s="401" t="s">
        <v>1231</v>
      </c>
      <c r="G150" s="400" t="str">
        <f t="shared" si="2"/>
        <v>Versamento mensile LPP da busta paga</v>
      </c>
    </row>
    <row r="151" spans="1:7" x14ac:dyDescent="0.25">
      <c r="A151" s="403" t="s">
        <v>1186</v>
      </c>
      <c r="B151" s="470" t="s">
        <v>1193</v>
      </c>
      <c r="C151" s="401" t="s">
        <v>1202</v>
      </c>
      <c r="D151" s="401" t="s">
        <v>1212</v>
      </c>
      <c r="E151" s="401" t="s">
        <v>1222</v>
      </c>
      <c r="F151" s="401" t="s">
        <v>1232</v>
      </c>
      <c r="G151" s="400" t="str">
        <f t="shared" si="2"/>
        <v xml:space="preserve">Rendita LPP in caso di invalidità </v>
      </c>
    </row>
    <row r="152" spans="1:7" x14ac:dyDescent="0.25">
      <c r="A152" s="403" t="s">
        <v>1187</v>
      </c>
      <c r="B152" s="470" t="s">
        <v>1194</v>
      </c>
      <c r="C152" s="401" t="s">
        <v>1203</v>
      </c>
      <c r="D152" s="401" t="s">
        <v>1213</v>
      </c>
      <c r="E152" s="401" t="s">
        <v>1223</v>
      </c>
      <c r="F152" s="401" t="s">
        <v>1233</v>
      </c>
      <c r="G152" s="400" t="str">
        <f t="shared" si="2"/>
        <v xml:space="preserve">Rendita LPP in caso di pensionamento </v>
      </c>
    </row>
    <row r="153" spans="1:7" x14ac:dyDescent="0.25">
      <c r="A153" s="403" t="s">
        <v>1188</v>
      </c>
      <c r="B153" s="470" t="s">
        <v>1195</v>
      </c>
      <c r="C153" s="401" t="s">
        <v>1204</v>
      </c>
      <c r="D153" s="401" t="s">
        <v>1214</v>
      </c>
      <c r="E153" s="401" t="s">
        <v>1224</v>
      </c>
      <c r="F153" s="401" t="s">
        <v>1234</v>
      </c>
      <c r="G153" s="400" t="str">
        <f t="shared" si="2"/>
        <v xml:space="preserve">Imposte annue con deduzione 3A </v>
      </c>
    </row>
    <row r="154" spans="1:7" ht="12.5" customHeight="1" x14ac:dyDescent="0.25">
      <c r="A154" s="400" t="s">
        <v>396</v>
      </c>
      <c r="B154" s="470" t="s">
        <v>2727</v>
      </c>
      <c r="C154" s="401" t="s">
        <v>1205</v>
      </c>
      <c r="D154" s="401" t="s">
        <v>1215</v>
      </c>
      <c r="E154" s="401" t="s">
        <v>1225</v>
      </c>
      <c r="F154" s="401" t="s">
        <v>1235</v>
      </c>
      <c r="G154" s="400" t="str">
        <f t="shared" si="2"/>
        <v xml:space="preserve">I DATI CHE SEGUONO VENGONO CALCOLATI AUTOMATICAMENTE DAL SISTEMA. SULLA BASE DEI MINIMI LEGALI. PER OTTENERE UNA CALCOLAZIONE PIÙ PRECISA, POSSONO ESSERE CALCOLATI MANUALMENTE, INSERENDONE QUI IL VALORE                                       </v>
      </c>
    </row>
    <row r="155" spans="1:7" ht="56.5" customHeight="1" x14ac:dyDescent="0.25">
      <c r="A155" s="406" t="s">
        <v>2652</v>
      </c>
      <c r="B155" s="470" t="s">
        <v>1236</v>
      </c>
      <c r="C155" s="401" t="s">
        <v>1288</v>
      </c>
      <c r="D155" s="401" t="s">
        <v>1296</v>
      </c>
      <c r="E155" s="401" t="s">
        <v>1304</v>
      </c>
      <c r="F155" s="401" t="s">
        <v>1312</v>
      </c>
      <c r="G155" s="400" t="str">
        <f t="shared" si="2"/>
        <v xml:space="preserve">VALUTAZIONE CASSA MALATI </v>
      </c>
    </row>
    <row r="156" spans="1:7" x14ac:dyDescent="0.25">
      <c r="A156" s="406" t="s">
        <v>1237</v>
      </c>
      <c r="B156" s="470" t="s">
        <v>2728</v>
      </c>
      <c r="C156" s="401" t="s">
        <v>1289</v>
      </c>
      <c r="D156" s="401" t="s">
        <v>1297</v>
      </c>
      <c r="E156" s="401" t="s">
        <v>1305</v>
      </c>
      <c r="F156" s="401" t="s">
        <v>1313</v>
      </c>
      <c r="G156" s="400" t="str">
        <f t="shared" si="2"/>
        <v xml:space="preserve">Proposta CM Capofamiglia         </v>
      </c>
    </row>
    <row r="157" spans="1:7" x14ac:dyDescent="0.25">
      <c r="A157" s="406" t="s">
        <v>1238</v>
      </c>
      <c r="B157" s="470" t="s">
        <v>2729</v>
      </c>
      <c r="C157" s="401" t="s">
        <v>1290</v>
      </c>
      <c r="D157" s="401" t="s">
        <v>1298</v>
      </c>
      <c r="E157" s="401" t="s">
        <v>1306</v>
      </c>
      <c r="F157" s="401" t="s">
        <v>1314</v>
      </c>
      <c r="G157" s="400" t="str">
        <f t="shared" si="2"/>
        <v xml:space="preserve">Proposta CM Partner                     </v>
      </c>
    </row>
    <row r="158" spans="1:7" x14ac:dyDescent="0.25">
      <c r="A158" s="406" t="s">
        <v>1239</v>
      </c>
      <c r="B158" s="470" t="s">
        <v>2730</v>
      </c>
      <c r="C158" s="401" t="s">
        <v>1291</v>
      </c>
      <c r="D158" s="401" t="s">
        <v>1299</v>
      </c>
      <c r="E158" s="401" t="s">
        <v>1307</v>
      </c>
      <c r="F158" s="401" t="s">
        <v>1315</v>
      </c>
      <c r="G158" s="400" t="str">
        <f t="shared" si="2"/>
        <v xml:space="preserve">Proposta CM figlio 1                       </v>
      </c>
    </row>
    <row r="159" spans="1:7" x14ac:dyDescent="0.25">
      <c r="A159" s="406" t="s">
        <v>2653</v>
      </c>
      <c r="B159" s="470" t="s">
        <v>1240</v>
      </c>
      <c r="C159" s="401" t="s">
        <v>1292</v>
      </c>
      <c r="D159" s="401" t="s">
        <v>1300</v>
      </c>
      <c r="E159" s="401" t="s">
        <v>1308</v>
      </c>
      <c r="F159" s="401" t="s">
        <v>1316</v>
      </c>
      <c r="G159" s="400" t="str">
        <f t="shared" si="2"/>
        <v xml:space="preserve">Proposta CM Figlio 2                        </v>
      </c>
    </row>
    <row r="160" spans="1:7" x14ac:dyDescent="0.25">
      <c r="A160" s="406" t="s">
        <v>2654</v>
      </c>
      <c r="B160" s="470" t="s">
        <v>1241</v>
      </c>
      <c r="C160" s="401" t="s">
        <v>1293</v>
      </c>
      <c r="D160" s="401" t="s">
        <v>1301</v>
      </c>
      <c r="E160" s="401" t="s">
        <v>1309</v>
      </c>
      <c r="F160" s="401" t="s">
        <v>1317</v>
      </c>
      <c r="G160" s="400" t="str">
        <f t="shared" si="2"/>
        <v xml:space="preserve">Proposta CM Figlio 3                        </v>
      </c>
    </row>
    <row r="161" spans="1:7" x14ac:dyDescent="0.25">
      <c r="A161" s="406" t="s">
        <v>2655</v>
      </c>
      <c r="B161" s="470" t="s">
        <v>1242</v>
      </c>
      <c r="C161" s="401" t="s">
        <v>1294</v>
      </c>
      <c r="D161" s="401" t="s">
        <v>1302</v>
      </c>
      <c r="E161" s="401" t="s">
        <v>1310</v>
      </c>
      <c r="F161" s="401" t="s">
        <v>1318</v>
      </c>
      <c r="G161" s="400" t="str">
        <f t="shared" si="2"/>
        <v xml:space="preserve">Altri figli:                                        </v>
      </c>
    </row>
    <row r="162" spans="1:7" x14ac:dyDescent="0.25">
      <c r="A162" s="406" t="s">
        <v>395</v>
      </c>
      <c r="B162" s="470" t="s">
        <v>395</v>
      </c>
      <c r="C162" s="401" t="s">
        <v>1295</v>
      </c>
      <c r="D162" s="401" t="s">
        <v>1303</v>
      </c>
      <c r="E162" s="401" t="s">
        <v>1311</v>
      </c>
      <c r="F162" s="401" t="s">
        <v>1303</v>
      </c>
      <c r="G162" s="400" t="str">
        <f t="shared" si="2"/>
        <v>TOT.</v>
      </c>
    </row>
    <row r="163" spans="1:7" ht="47" customHeight="1" x14ac:dyDescent="0.25">
      <c r="A163" s="400" t="s">
        <v>1249</v>
      </c>
      <c r="B163" s="470" t="s">
        <v>1251</v>
      </c>
      <c r="C163" s="401" t="s">
        <v>1252</v>
      </c>
      <c r="D163" s="401" t="s">
        <v>1261</v>
      </c>
      <c r="E163" s="401" t="s">
        <v>1270</v>
      </c>
      <c r="F163" s="401" t="s">
        <v>1279</v>
      </c>
      <c r="G163" s="400" t="str">
        <f t="shared" si="2"/>
        <v xml:space="preserve">PREPARAZIONE DELL'APPUNTAMETNO DI CONSULENZA </v>
      </c>
    </row>
    <row r="164" spans="1:7" ht="26" x14ac:dyDescent="0.3">
      <c r="A164" s="409" t="s">
        <v>1243</v>
      </c>
      <c r="B164" s="470" t="s">
        <v>2731</v>
      </c>
      <c r="C164" s="401" t="s">
        <v>1253</v>
      </c>
      <c r="D164" s="401" t="s">
        <v>1262</v>
      </c>
      <c r="E164" s="401" t="s">
        <v>1271</v>
      </c>
      <c r="F164" s="401" t="s">
        <v>1280</v>
      </c>
      <c r="G164" s="400" t="str">
        <f t="shared" si="2"/>
        <v xml:space="preserve">Stampa per il cliente (o prepara in PDF se presenti online i seguenti documenti: </v>
      </c>
    </row>
    <row r="165" spans="1:7" ht="14.5" customHeight="1" x14ac:dyDescent="0.3">
      <c r="A165" s="409" t="s">
        <v>2656</v>
      </c>
      <c r="B165" s="470" t="s">
        <v>2732</v>
      </c>
      <c r="C165" s="401" t="s">
        <v>1254</v>
      </c>
      <c r="D165" s="401" t="s">
        <v>1263</v>
      </c>
      <c r="E165" s="401" t="s">
        <v>1272</v>
      </c>
      <c r="F165" s="401" t="s">
        <v>1281</v>
      </c>
      <c r="G165" s="400" t="str">
        <f t="shared" si="2"/>
        <v xml:space="preserve">Se Cassa malati calcolata solo sommariamente sul totale, CM.TOT. Se calcolata su ogni signolo famibliare tutta la serie CM 1 ecc… compreso CM TOT se più di un membro in famiglia  </v>
      </c>
    </row>
    <row r="166" spans="1:7" ht="14.5" customHeight="1" x14ac:dyDescent="0.3">
      <c r="A166" s="409" t="s">
        <v>1250</v>
      </c>
      <c r="B166" s="470" t="s">
        <v>2733</v>
      </c>
      <c r="C166" s="401" t="s">
        <v>1255</v>
      </c>
      <c r="D166" s="401" t="s">
        <v>1264</v>
      </c>
      <c r="E166" s="401" t="s">
        <v>1273</v>
      </c>
      <c r="F166" s="401" t="s">
        <v>1282</v>
      </c>
      <c r="G166" s="400" t="str">
        <f t="shared" si="2"/>
        <v>Preparare sul sistema offerta CM, che potrà semmai in consulenza essere chiusa online</v>
      </c>
    </row>
    <row r="167" spans="1:7" ht="14.5" customHeight="1" x14ac:dyDescent="0.3">
      <c r="A167" s="409" t="s">
        <v>1244</v>
      </c>
      <c r="B167" s="470" t="s">
        <v>2734</v>
      </c>
      <c r="C167" s="401" t="s">
        <v>1256</v>
      </c>
      <c r="D167" s="401" t="s">
        <v>1265</v>
      </c>
      <c r="E167" s="401" t="s">
        <v>1274</v>
      </c>
      <c r="F167" s="401" t="s">
        <v>1283</v>
      </c>
      <c r="G167" s="400" t="str">
        <f t="shared" si="2"/>
        <v>Stampare i calcoli fiscali su moduli cantone e confederazione (vedi link precedenti)</v>
      </c>
    </row>
    <row r="168" spans="1:7" ht="14.5" customHeight="1" x14ac:dyDescent="0.3">
      <c r="A168" s="409" t="s">
        <v>1245</v>
      </c>
      <c r="B168" s="470" t="s">
        <v>2735</v>
      </c>
      <c r="C168" s="401" t="s">
        <v>1257</v>
      </c>
      <c r="D168" s="401" t="s">
        <v>1266</v>
      </c>
      <c r="E168" s="401" t="s">
        <v>1275</v>
      </c>
      <c r="F168" s="401" t="s">
        <v>1284</v>
      </c>
      <c r="G168" s="400" t="str">
        <f t="shared" si="2"/>
        <v xml:space="preserve">Stampare il presente modulo di analisi, per ripetizione presupposti di base in consulenza </v>
      </c>
    </row>
    <row r="169" spans="1:7" ht="14.5" customHeight="1" x14ac:dyDescent="0.3">
      <c r="A169" s="409" t="s">
        <v>1246</v>
      </c>
      <c r="B169" s="470" t="s">
        <v>2736</v>
      </c>
      <c r="C169" s="401" t="s">
        <v>1258</v>
      </c>
      <c r="D169" s="401" t="s">
        <v>1267</v>
      </c>
      <c r="E169" s="401" t="s">
        <v>1276</v>
      </c>
      <c r="F169" s="401" t="s">
        <v>1285</v>
      </c>
      <c r="G169" s="400" t="str">
        <f t="shared" si="2"/>
        <v xml:space="preserve">Stampare schemi fabbisogno, rendite e decesso per valutazione previedenziale </v>
      </c>
    </row>
    <row r="170" spans="1:7" ht="14.5" customHeight="1" x14ac:dyDescent="0.3">
      <c r="A170" s="409" t="s">
        <v>1247</v>
      </c>
      <c r="B170" s="470" t="s">
        <v>2737</v>
      </c>
      <c r="C170" s="401" t="s">
        <v>1259</v>
      </c>
      <c r="D170" s="401" t="s">
        <v>1268</v>
      </c>
      <c r="E170" s="401" t="s">
        <v>1277</v>
      </c>
      <c r="F170" s="401" t="s">
        <v>1286</v>
      </c>
      <c r="G170" s="400" t="str">
        <f t="shared" si="2"/>
        <v xml:space="preserve">Stampare calcolo finanziabilità o finanziamento se il cliente è interessato ad abitazione di proprietà  </v>
      </c>
    </row>
    <row r="171" spans="1:7" ht="14.5" customHeight="1" x14ac:dyDescent="0.3">
      <c r="A171" s="409" t="s">
        <v>1248</v>
      </c>
      <c r="B171" s="470" t="s">
        <v>2738</v>
      </c>
      <c r="C171" s="401" t="s">
        <v>1260</v>
      </c>
      <c r="D171" s="401" t="s">
        <v>1269</v>
      </c>
      <c r="E171" s="401" t="s">
        <v>1278</v>
      </c>
      <c r="F171" s="401" t="s">
        <v>1287</v>
      </c>
      <c r="G171" s="400" t="str">
        <f t="shared" si="2"/>
        <v>Preparare proposta previdenza nel sistema pronta per essere ev. inoltrata online (o stampare se non è possibile)</v>
      </c>
    </row>
    <row r="172" spans="1:7" ht="35.5" customHeight="1" x14ac:dyDescent="0.25">
      <c r="A172" s="400" t="s">
        <v>1319</v>
      </c>
      <c r="B172" s="470" t="s">
        <v>2739</v>
      </c>
      <c r="C172" s="401" t="s">
        <v>1382</v>
      </c>
      <c r="D172" s="401" t="s">
        <v>1420</v>
      </c>
      <c r="E172" s="401" t="s">
        <v>1459</v>
      </c>
      <c r="F172" s="401" t="s">
        <v>1498</v>
      </c>
      <c r="G172" s="400" t="str">
        <f t="shared" si="2"/>
        <v>Traduzione sigle per Analisi</v>
      </c>
    </row>
    <row r="173" spans="1:7" ht="13" x14ac:dyDescent="0.3">
      <c r="A173" s="410" t="s">
        <v>289</v>
      </c>
      <c r="B173" s="470" t="s">
        <v>2740</v>
      </c>
      <c r="C173" s="401" t="s">
        <v>1383</v>
      </c>
      <c r="D173" s="401" t="s">
        <v>1421</v>
      </c>
      <c r="E173" s="401" t="s">
        <v>1460</v>
      </c>
      <c r="F173" s="401" t="s">
        <v>1499</v>
      </c>
      <c r="G173" s="400" t="str">
        <f t="shared" si="2"/>
        <v>Svizzero nessun permesso</v>
      </c>
    </row>
    <row r="174" spans="1:7" ht="13" x14ac:dyDescent="0.3">
      <c r="A174" s="411" t="s">
        <v>1320</v>
      </c>
      <c r="B174" s="470" t="s">
        <v>1352</v>
      </c>
      <c r="C174" s="401" t="s">
        <v>1384</v>
      </c>
      <c r="D174" s="401" t="s">
        <v>1422</v>
      </c>
      <c r="E174" s="401" t="s">
        <v>1461</v>
      </c>
      <c r="F174" s="401" t="s">
        <v>1500</v>
      </c>
      <c r="G174" s="400" t="str">
        <f t="shared" si="2"/>
        <v xml:space="preserve">Dipendente </v>
      </c>
    </row>
    <row r="175" spans="1:7" ht="13" x14ac:dyDescent="0.3">
      <c r="A175" s="410" t="s">
        <v>1321</v>
      </c>
      <c r="B175" s="470" t="s">
        <v>1353</v>
      </c>
      <c r="C175" s="401" t="s">
        <v>1385</v>
      </c>
      <c r="D175" s="401" t="s">
        <v>1423</v>
      </c>
      <c r="E175" s="401" t="s">
        <v>1462</v>
      </c>
      <c r="F175" s="401" t="s">
        <v>1501</v>
      </c>
      <c r="G175" s="400" t="str">
        <f t="shared" si="2"/>
        <v>Indipendente</v>
      </c>
    </row>
    <row r="176" spans="1:7" ht="13" x14ac:dyDescent="0.3">
      <c r="A176" s="410" t="s">
        <v>1322</v>
      </c>
      <c r="B176" s="470" t="s">
        <v>1354</v>
      </c>
      <c r="C176" s="401" t="s">
        <v>1386</v>
      </c>
      <c r="D176" s="401" t="s">
        <v>1424</v>
      </c>
      <c r="E176" s="401" t="s">
        <v>1463</v>
      </c>
      <c r="F176" s="401" t="s">
        <v>1502</v>
      </c>
      <c r="G176" s="400" t="str">
        <f t="shared" si="2"/>
        <v>Disoccupazione</v>
      </c>
    </row>
    <row r="177" spans="1:7" ht="13" x14ac:dyDescent="0.3">
      <c r="A177" s="410" t="s">
        <v>1323</v>
      </c>
      <c r="B177" s="470" t="s">
        <v>1355</v>
      </c>
      <c r="C177" s="401" t="s">
        <v>1355</v>
      </c>
      <c r="D177" s="401" t="s">
        <v>1425</v>
      </c>
      <c r="E177" s="401" t="s">
        <v>1464</v>
      </c>
      <c r="F177" s="401" t="s">
        <v>1503</v>
      </c>
      <c r="G177" s="400" t="str">
        <f t="shared" si="2"/>
        <v xml:space="preserve">Rendita / Pensione </v>
      </c>
    </row>
    <row r="178" spans="1:7" ht="13" x14ac:dyDescent="0.3">
      <c r="A178" s="410" t="s">
        <v>1324</v>
      </c>
      <c r="B178" s="470" t="s">
        <v>1356</v>
      </c>
      <c r="C178" s="401" t="s">
        <v>1387</v>
      </c>
      <c r="D178" s="401" t="s">
        <v>1426</v>
      </c>
      <c r="E178" s="401" t="s">
        <v>1465</v>
      </c>
      <c r="F178" s="401" t="s">
        <v>1504</v>
      </c>
      <c r="G178" s="400" t="str">
        <f t="shared" si="2"/>
        <v xml:space="preserve">Nessun reddito </v>
      </c>
    </row>
    <row r="179" spans="1:7" ht="13" x14ac:dyDescent="0.3">
      <c r="A179" s="410" t="s">
        <v>999</v>
      </c>
      <c r="B179" s="470" t="s">
        <v>1357</v>
      </c>
      <c r="C179" s="401" t="s">
        <v>1022</v>
      </c>
      <c r="D179" s="401" t="s">
        <v>1037</v>
      </c>
      <c r="E179" s="401" t="s">
        <v>1055</v>
      </c>
      <c r="F179" s="401" t="s">
        <v>1071</v>
      </c>
      <c r="G179" s="400" t="str">
        <f t="shared" si="2"/>
        <v xml:space="preserve">Altro </v>
      </c>
    </row>
    <row r="180" spans="1:7" ht="13" x14ac:dyDescent="0.3">
      <c r="A180" s="410" t="s">
        <v>1325</v>
      </c>
      <c r="B180" s="470" t="s">
        <v>1358</v>
      </c>
      <c r="C180" s="401" t="s">
        <v>1388</v>
      </c>
      <c r="D180" s="401" t="s">
        <v>1427</v>
      </c>
      <c r="E180" s="401" t="s">
        <v>1466</v>
      </c>
      <c r="F180" s="401" t="s">
        <v>1505</v>
      </c>
      <c r="G180" s="400" t="str">
        <f t="shared" si="2"/>
        <v xml:space="preserve">Fumatore </v>
      </c>
    </row>
    <row r="181" spans="1:7" ht="13" x14ac:dyDescent="0.3">
      <c r="A181" s="410" t="s">
        <v>1326</v>
      </c>
      <c r="B181" s="470" t="s">
        <v>1359</v>
      </c>
      <c r="C181" s="401" t="s">
        <v>1389</v>
      </c>
      <c r="D181" s="401" t="s">
        <v>1428</v>
      </c>
      <c r="E181" s="401" t="s">
        <v>1467</v>
      </c>
      <c r="F181" s="401" t="s">
        <v>1506</v>
      </c>
      <c r="G181" s="400" t="str">
        <f t="shared" si="2"/>
        <v xml:space="preserve">Non Fumatore </v>
      </c>
    </row>
    <row r="182" spans="1:7" x14ac:dyDescent="0.25">
      <c r="A182" s="401" t="s">
        <v>1327</v>
      </c>
      <c r="B182" s="470" t="s">
        <v>1360</v>
      </c>
      <c r="C182" s="401" t="s">
        <v>1390</v>
      </c>
      <c r="D182" s="401" t="s">
        <v>1429</v>
      </c>
      <c r="E182" s="401" t="s">
        <v>1468</v>
      </c>
      <c r="F182" s="401" t="s">
        <v>1507</v>
      </c>
      <c r="G182" s="400" t="str">
        <f t="shared" si="2"/>
        <v>10 - Priorità massima</v>
      </c>
    </row>
    <row r="183" spans="1:7" x14ac:dyDescent="0.25">
      <c r="A183" s="401" t="s">
        <v>1328</v>
      </c>
      <c r="B183" s="470" t="s">
        <v>1361</v>
      </c>
      <c r="C183" s="401" t="s">
        <v>1391</v>
      </c>
      <c r="D183" s="401" t="s">
        <v>1430</v>
      </c>
      <c r="E183" s="401" t="s">
        <v>1469</v>
      </c>
      <c r="F183" s="401" t="s">
        <v>1508</v>
      </c>
      <c r="G183" s="400" t="str">
        <f t="shared" si="2"/>
        <v>9 - Molto Importante</v>
      </c>
    </row>
    <row r="184" spans="1:7" x14ac:dyDescent="0.25">
      <c r="A184" s="401" t="s">
        <v>1329</v>
      </c>
      <c r="B184" s="470" t="s">
        <v>1362</v>
      </c>
      <c r="C184" s="401" t="s">
        <v>1392</v>
      </c>
      <c r="D184" s="401" t="s">
        <v>1431</v>
      </c>
      <c r="E184" s="401" t="s">
        <v>1470</v>
      </c>
      <c r="F184" s="401" t="s">
        <v>1392</v>
      </c>
      <c r="G184" s="400" t="str">
        <f t="shared" si="2"/>
        <v xml:space="preserve">8 - Importante </v>
      </c>
    </row>
    <row r="185" spans="1:7" x14ac:dyDescent="0.25">
      <c r="A185" s="401" t="s">
        <v>1330</v>
      </c>
      <c r="B185" s="470" t="s">
        <v>2741</v>
      </c>
      <c r="C185" s="401" t="s">
        <v>1393</v>
      </c>
      <c r="D185" s="401" t="s">
        <v>1432</v>
      </c>
      <c r="E185" s="401" t="s">
        <v>1471</v>
      </c>
      <c r="F185" s="401" t="s">
        <v>1509</v>
      </c>
      <c r="G185" s="400" t="str">
        <f t="shared" si="2"/>
        <v>7 - Sarebbe bello</v>
      </c>
    </row>
    <row r="186" spans="1:7" x14ac:dyDescent="0.25">
      <c r="A186" s="401" t="s">
        <v>1331</v>
      </c>
      <c r="B186" s="470" t="s">
        <v>2742</v>
      </c>
      <c r="C186" s="401" t="s">
        <v>1394</v>
      </c>
      <c r="D186" s="401" t="s">
        <v>1433</v>
      </c>
      <c r="E186" s="401" t="s">
        <v>1472</v>
      </c>
      <c r="F186" s="401" t="s">
        <v>1510</v>
      </c>
      <c r="G186" s="400" t="str">
        <f t="shared" si="2"/>
        <v>6 - Non mi dispiacerebbe</v>
      </c>
    </row>
    <row r="187" spans="1:7" x14ac:dyDescent="0.25">
      <c r="A187" s="401" t="s">
        <v>1332</v>
      </c>
      <c r="B187" s="470" t="s">
        <v>1363</v>
      </c>
      <c r="C187" s="401" t="s">
        <v>1395</v>
      </c>
      <c r="D187" s="401" t="s">
        <v>1434</v>
      </c>
      <c r="E187" s="401" t="s">
        <v>1473</v>
      </c>
      <c r="F187" s="401" t="s">
        <v>1511</v>
      </c>
      <c r="G187" s="400" t="str">
        <f t="shared" si="2"/>
        <v xml:space="preserve">5 - Perché no </v>
      </c>
    </row>
    <row r="188" spans="1:7" x14ac:dyDescent="0.25">
      <c r="A188" s="401" t="s">
        <v>1333</v>
      </c>
      <c r="B188" s="470" t="s">
        <v>2743</v>
      </c>
      <c r="C188" s="401" t="s">
        <v>1396</v>
      </c>
      <c r="D188" s="401" t="s">
        <v>1435</v>
      </c>
      <c r="E188" s="401" t="s">
        <v>1474</v>
      </c>
      <c r="F188" s="401" t="s">
        <v>1512</v>
      </c>
      <c r="G188" s="400" t="str">
        <f t="shared" si="2"/>
        <v xml:space="preserve">4 - Come ultima cosa </v>
      </c>
    </row>
    <row r="189" spans="1:7" x14ac:dyDescent="0.25">
      <c r="A189" s="401" t="s">
        <v>1334</v>
      </c>
      <c r="B189" s="470" t="s">
        <v>2744</v>
      </c>
      <c r="C189" s="401" t="s">
        <v>1397</v>
      </c>
      <c r="D189" s="401" t="s">
        <v>1436</v>
      </c>
      <c r="E189" s="401" t="s">
        <v>1475</v>
      </c>
      <c r="F189" s="401" t="s">
        <v>1513</v>
      </c>
      <c r="G189" s="400" t="str">
        <f t="shared" si="2"/>
        <v>3 - Indifferente</v>
      </c>
    </row>
    <row r="190" spans="1:7" x14ac:dyDescent="0.25">
      <c r="A190" s="401" t="s">
        <v>1335</v>
      </c>
      <c r="B190" s="470" t="s">
        <v>2745</v>
      </c>
      <c r="C190" s="401" t="s">
        <v>1398</v>
      </c>
      <c r="D190" s="401" t="s">
        <v>1437</v>
      </c>
      <c r="E190" s="401" t="s">
        <v>1476</v>
      </c>
      <c r="F190" s="401" t="s">
        <v>1514</v>
      </c>
      <c r="G190" s="400" t="str">
        <f t="shared" si="2"/>
        <v xml:space="preserve">2 - Non importante </v>
      </c>
    </row>
    <row r="191" spans="1:7" x14ac:dyDescent="0.25">
      <c r="A191" s="401" t="s">
        <v>1336</v>
      </c>
      <c r="B191" s="470" t="s">
        <v>2746</v>
      </c>
      <c r="C191" s="401" t="s">
        <v>1399</v>
      </c>
      <c r="D191" s="401" t="s">
        <v>1438</v>
      </c>
      <c r="E191" s="401" t="s">
        <v>1477</v>
      </c>
      <c r="F191" s="401" t="s">
        <v>1515</v>
      </c>
      <c r="G191" s="400" t="str">
        <f t="shared" si="2"/>
        <v xml:space="preserve">1 -  Non interessa </v>
      </c>
    </row>
    <row r="192" spans="1:7" x14ac:dyDescent="0.25">
      <c r="A192" s="401" t="s">
        <v>1337</v>
      </c>
      <c r="B192" s="470" t="s">
        <v>2747</v>
      </c>
      <c r="C192" s="401" t="s">
        <v>1400</v>
      </c>
      <c r="D192" s="401" t="s">
        <v>1439</v>
      </c>
      <c r="E192" s="401" t="s">
        <v>1478</v>
      </c>
      <c r="F192" s="401" t="s">
        <v>1516</v>
      </c>
      <c r="G192" s="400" t="str">
        <f t="shared" si="2"/>
        <v xml:space="preserve">0 - Non trattare </v>
      </c>
    </row>
    <row r="193" spans="1:7" x14ac:dyDescent="0.25">
      <c r="A193" s="401" t="s">
        <v>1338</v>
      </c>
      <c r="B193" s="470" t="s">
        <v>1364</v>
      </c>
      <c r="C193" s="401" t="s">
        <v>1401</v>
      </c>
      <c r="D193" s="401" t="s">
        <v>1440</v>
      </c>
      <c r="E193" s="401" t="s">
        <v>1479</v>
      </c>
      <c r="F193" s="401" t="s">
        <v>1517</v>
      </c>
      <c r="G193" s="400" t="str">
        <f t="shared" si="2"/>
        <v xml:space="preserve">Imposta alla fonte </v>
      </c>
    </row>
    <row r="194" spans="1:7" x14ac:dyDescent="0.25">
      <c r="A194" s="401" t="s">
        <v>1339</v>
      </c>
      <c r="B194" s="470" t="s">
        <v>1365</v>
      </c>
      <c r="C194" s="401" t="s">
        <v>1402</v>
      </c>
      <c r="D194" s="401" t="s">
        <v>1441</v>
      </c>
      <c r="E194" s="401" t="s">
        <v>1480</v>
      </c>
      <c r="F194" s="401" t="s">
        <v>1518</v>
      </c>
      <c r="G194" s="400" t="str">
        <f t="shared" si="2"/>
        <v xml:space="preserve">Tassazione ordinaria </v>
      </c>
    </row>
    <row r="195" spans="1:7" x14ac:dyDescent="0.25">
      <c r="A195" s="401" t="s">
        <v>1340</v>
      </c>
      <c r="B195" s="401" t="s">
        <v>1366</v>
      </c>
      <c r="C195" s="401" t="s">
        <v>1403</v>
      </c>
      <c r="D195" s="401" t="s">
        <v>1442</v>
      </c>
      <c r="E195" s="401" t="s">
        <v>1481</v>
      </c>
      <c r="F195" s="401" t="s">
        <v>1519</v>
      </c>
      <c r="G195" s="400" t="str">
        <f t="shared" si="2"/>
        <v xml:space="preserve">Imposta alla fonte con tassazione ordinaria volontaria </v>
      </c>
    </row>
    <row r="196" spans="1:7" ht="25" x14ac:dyDescent="0.25">
      <c r="A196" s="401" t="s">
        <v>1341</v>
      </c>
      <c r="B196" s="401" t="s">
        <v>1367</v>
      </c>
      <c r="C196" s="401" t="s">
        <v>1404</v>
      </c>
      <c r="D196" s="401" t="s">
        <v>1443</v>
      </c>
      <c r="E196" s="401" t="s">
        <v>1482</v>
      </c>
      <c r="F196" s="401" t="s">
        <v>1520</v>
      </c>
      <c r="G196" s="400" t="str">
        <f t="shared" si="2"/>
        <v>Imposta alla fonte con tassazione ordinaria obbligatoria</v>
      </c>
    </row>
    <row r="197" spans="1:7" x14ac:dyDescent="0.25">
      <c r="A197" s="401" t="s">
        <v>1342</v>
      </c>
      <c r="B197" s="401" t="s">
        <v>1368</v>
      </c>
      <c r="C197" s="401" t="s">
        <v>1405</v>
      </c>
      <c r="D197" s="401" t="s">
        <v>1444</v>
      </c>
      <c r="E197" s="401" t="s">
        <v>1483</v>
      </c>
      <c r="F197" s="401" t="s">
        <v>1521</v>
      </c>
      <c r="G197" s="400" t="str">
        <f t="shared" ref="G197:G259" si="3">IF($C$1="IT",A197,IF($C$1="DE",B197,IF($C$1="FR",C197,IF($C$1="PT",D197,IF($C$1="RU",E197,IF($C$1="EN",F197,A197))))))</f>
        <v>SI</v>
      </c>
    </row>
    <row r="198" spans="1:7" x14ac:dyDescent="0.25">
      <c r="A198" s="401" t="s">
        <v>1343</v>
      </c>
      <c r="B198" s="401" t="s">
        <v>1369</v>
      </c>
      <c r="C198" s="401" t="s">
        <v>1406</v>
      </c>
      <c r="D198" s="401" t="s">
        <v>1445</v>
      </c>
      <c r="E198" s="401" t="s">
        <v>1484</v>
      </c>
      <c r="F198" s="401" t="s">
        <v>1343</v>
      </c>
      <c r="G198" s="400" t="str">
        <f t="shared" si="3"/>
        <v>NO</v>
      </c>
    </row>
    <row r="199" spans="1:7" x14ac:dyDescent="0.25">
      <c r="A199" s="401" t="s">
        <v>1344</v>
      </c>
      <c r="B199" s="401" t="s">
        <v>1370</v>
      </c>
      <c r="C199" s="401" t="s">
        <v>1407</v>
      </c>
      <c r="D199" s="401" t="s">
        <v>1446</v>
      </c>
      <c r="E199" s="401" t="s">
        <v>1485</v>
      </c>
      <c r="F199" s="401" t="s">
        <v>1522</v>
      </c>
      <c r="G199" s="400" t="str">
        <f t="shared" si="3"/>
        <v>Nessuno</v>
      </c>
    </row>
    <row r="200" spans="1:7" x14ac:dyDescent="0.25">
      <c r="A200" s="401" t="s">
        <v>1345</v>
      </c>
      <c r="B200" s="401" t="s">
        <v>1371</v>
      </c>
      <c r="C200" s="401" t="s">
        <v>1408</v>
      </c>
      <c r="D200" s="401" t="s">
        <v>1447</v>
      </c>
      <c r="E200" s="401" t="s">
        <v>1486</v>
      </c>
      <c r="F200" s="401" t="s">
        <v>1523</v>
      </c>
      <c r="G200" s="400" t="str">
        <f t="shared" si="3"/>
        <v>Scuola professionale</v>
      </c>
    </row>
    <row r="201" spans="1:7" x14ac:dyDescent="0.25">
      <c r="A201" s="401" t="s">
        <v>1346</v>
      </c>
      <c r="B201" s="401" t="s">
        <v>1372</v>
      </c>
      <c r="C201" s="401" t="s">
        <v>1409</v>
      </c>
      <c r="D201" s="401" t="s">
        <v>1448</v>
      </c>
      <c r="E201" s="401" t="s">
        <v>1487</v>
      </c>
      <c r="F201" s="401" t="s">
        <v>1524</v>
      </c>
      <c r="G201" s="400" t="str">
        <f t="shared" si="3"/>
        <v>Scuola professionale superiore</v>
      </c>
    </row>
    <row r="202" spans="1:7" x14ac:dyDescent="0.25">
      <c r="A202" s="401" t="s">
        <v>326</v>
      </c>
      <c r="B202" s="401" t="s">
        <v>418</v>
      </c>
      <c r="C202" s="401" t="s">
        <v>1410</v>
      </c>
      <c r="D202" s="401" t="s">
        <v>1449</v>
      </c>
      <c r="E202" s="401" t="s">
        <v>1488</v>
      </c>
      <c r="F202" s="401" t="s">
        <v>1525</v>
      </c>
      <c r="G202" s="400" t="str">
        <f t="shared" si="3"/>
        <v>Università</v>
      </c>
    </row>
    <row r="203" spans="1:7" x14ac:dyDescent="0.25">
      <c r="A203" s="401" t="s">
        <v>1347</v>
      </c>
      <c r="B203" s="401" t="s">
        <v>1373</v>
      </c>
      <c r="C203" s="401" t="s">
        <v>1411</v>
      </c>
      <c r="D203" s="401" t="s">
        <v>1450</v>
      </c>
      <c r="E203" s="401" t="s">
        <v>1489</v>
      </c>
      <c r="F203" s="401" t="s">
        <v>1526</v>
      </c>
      <c r="G203" s="400" t="str">
        <f t="shared" si="3"/>
        <v>Cantone di domicilio</v>
      </c>
    </row>
    <row r="204" spans="1:7" x14ac:dyDescent="0.25">
      <c r="A204" s="400" t="s">
        <v>1348</v>
      </c>
      <c r="B204" s="401" t="s">
        <v>2748</v>
      </c>
      <c r="C204" s="401" t="s">
        <v>1412</v>
      </c>
      <c r="D204" s="401" t="s">
        <v>1451</v>
      </c>
      <c r="E204" s="401" t="s">
        <v>1490</v>
      </c>
      <c r="F204" s="401" t="s">
        <v>1527</v>
      </c>
      <c r="G204" s="400" t="str">
        <f t="shared" si="3"/>
        <v xml:space="preserve">Fuori Cantone </v>
      </c>
    </row>
    <row r="205" spans="1:7" x14ac:dyDescent="0.25">
      <c r="A205" s="401" t="s">
        <v>372</v>
      </c>
      <c r="B205" s="401" t="s">
        <v>372</v>
      </c>
      <c r="C205" s="401" t="s">
        <v>372</v>
      </c>
      <c r="D205" s="401" t="s">
        <v>372</v>
      </c>
      <c r="E205" s="401" t="s">
        <v>372</v>
      </c>
      <c r="F205" s="401" t="s">
        <v>372</v>
      </c>
      <c r="G205" s="400" t="str">
        <f t="shared" si="3"/>
        <v>50% max CHF 500.--</v>
      </c>
    </row>
    <row r="206" spans="1:7" x14ac:dyDescent="0.25">
      <c r="A206" s="401" t="s">
        <v>373</v>
      </c>
      <c r="B206" s="401" t="s">
        <v>373</v>
      </c>
      <c r="C206" s="401" t="s">
        <v>373</v>
      </c>
      <c r="D206" s="401" t="s">
        <v>373</v>
      </c>
      <c r="E206" s="401" t="s">
        <v>373</v>
      </c>
      <c r="F206" s="401" t="s">
        <v>373</v>
      </c>
      <c r="G206" s="400" t="str">
        <f t="shared" si="3"/>
        <v>50% max CHF 2000.--</v>
      </c>
    </row>
    <row r="207" spans="1:7" x14ac:dyDescent="0.25">
      <c r="A207" s="401" t="s">
        <v>391</v>
      </c>
      <c r="B207" s="401" t="s">
        <v>391</v>
      </c>
      <c r="C207" s="401" t="s">
        <v>391</v>
      </c>
      <c r="D207" s="401" t="s">
        <v>391</v>
      </c>
      <c r="E207" s="401" t="s">
        <v>391</v>
      </c>
      <c r="F207" s="401" t="s">
        <v>391</v>
      </c>
      <c r="G207" s="400" t="str">
        <f t="shared" si="3"/>
        <v>50% max CHF 1500.--</v>
      </c>
    </row>
    <row r="208" spans="1:7" x14ac:dyDescent="0.25">
      <c r="A208" s="401" t="s">
        <v>1349</v>
      </c>
      <c r="B208" s="401" t="s">
        <v>1374</v>
      </c>
      <c r="C208" s="401" t="s">
        <v>1413</v>
      </c>
      <c r="D208" s="401" t="s">
        <v>1452</v>
      </c>
      <c r="E208" s="401" t="s">
        <v>1491</v>
      </c>
      <c r="F208" s="401" t="s">
        <v>1528</v>
      </c>
      <c r="G208" s="400" t="str">
        <f t="shared" si="3"/>
        <v>50% max 30 g./anno</v>
      </c>
    </row>
    <row r="209" spans="1:7" x14ac:dyDescent="0.25">
      <c r="A209" s="401" t="s">
        <v>1350</v>
      </c>
      <c r="B209" s="401" t="s">
        <v>1375</v>
      </c>
      <c r="C209" s="401" t="s">
        <v>1414</v>
      </c>
      <c r="D209" s="401" t="s">
        <v>1453</v>
      </c>
      <c r="E209" s="401" t="s">
        <v>1492</v>
      </c>
      <c r="F209" s="401" t="s">
        <v>1529</v>
      </c>
      <c r="G209" s="400" t="str">
        <f t="shared" si="3"/>
        <v>90% / 3 anno</v>
      </c>
    </row>
    <row r="210" spans="1:7" ht="13" x14ac:dyDescent="0.3">
      <c r="A210" s="428" t="s">
        <v>369</v>
      </c>
      <c r="B210" s="401" t="s">
        <v>1376</v>
      </c>
      <c r="C210" s="401" t="s">
        <v>1415</v>
      </c>
      <c r="D210" s="401" t="s">
        <v>1454</v>
      </c>
      <c r="E210" s="401" t="s">
        <v>1493</v>
      </c>
      <c r="F210" s="401" t="s">
        <v>1530</v>
      </c>
      <c r="G210" s="400" t="str">
        <f t="shared" si="3"/>
        <v>90% Illimitato</v>
      </c>
    </row>
    <row r="211" spans="1:7" x14ac:dyDescent="0.25">
      <c r="A211" s="401" t="s">
        <v>399</v>
      </c>
      <c r="B211" s="401" t="s">
        <v>1377</v>
      </c>
      <c r="C211" s="401" t="s">
        <v>1416</v>
      </c>
      <c r="D211" s="401" t="s">
        <v>1455</v>
      </c>
      <c r="E211" s="401" t="s">
        <v>1494</v>
      </c>
      <c r="F211" s="401" t="s">
        <v>1531</v>
      </c>
      <c r="G211" s="400" t="str">
        <f t="shared" si="3"/>
        <v>0.-- per gen., farm., med. Tel.</v>
      </c>
    </row>
    <row r="212" spans="1:7" ht="13" x14ac:dyDescent="0.3">
      <c r="A212" s="429" t="s">
        <v>379</v>
      </c>
      <c r="B212" s="401" t="s">
        <v>1378</v>
      </c>
      <c r="C212" s="401" t="s">
        <v>1417</v>
      </c>
      <c r="D212" s="401" t="s">
        <v>1456</v>
      </c>
      <c r="E212" s="401" t="s">
        <v>1495</v>
      </c>
      <c r="F212" s="401" t="s">
        <v>1532</v>
      </c>
      <c r="G212" s="400" t="str">
        <f t="shared" si="3"/>
        <v>60% illimitato</v>
      </c>
    </row>
    <row r="213" spans="1:7" ht="13" x14ac:dyDescent="0.3">
      <c r="A213" s="429" t="s">
        <v>380</v>
      </c>
      <c r="B213" s="401" t="s">
        <v>1376</v>
      </c>
      <c r="C213" s="401" t="s">
        <v>1415</v>
      </c>
      <c r="D213" s="401" t="s">
        <v>1454</v>
      </c>
      <c r="E213" s="401" t="s">
        <v>1493</v>
      </c>
      <c r="F213" s="401" t="s">
        <v>1530</v>
      </c>
      <c r="G213" s="400" t="str">
        <f t="shared" si="3"/>
        <v>90% illimitato</v>
      </c>
    </row>
    <row r="214" spans="1:7" ht="13" x14ac:dyDescent="0.3">
      <c r="A214" s="430" t="s">
        <v>369</v>
      </c>
      <c r="B214" s="401" t="s">
        <v>1376</v>
      </c>
      <c r="C214" s="401" t="s">
        <v>1415</v>
      </c>
      <c r="D214" s="401" t="s">
        <v>1454</v>
      </c>
      <c r="E214" s="401" t="s">
        <v>1493</v>
      </c>
      <c r="F214" s="401" t="s">
        <v>1530</v>
      </c>
      <c r="G214" s="400" t="str">
        <f t="shared" si="3"/>
        <v>90% Illimitato</v>
      </c>
    </row>
    <row r="215" spans="1:7" ht="13" x14ac:dyDescent="0.3">
      <c r="A215" s="430" t="s">
        <v>439</v>
      </c>
      <c r="B215" s="401" t="s">
        <v>2749</v>
      </c>
      <c r="C215" s="401" t="s">
        <v>1379</v>
      </c>
      <c r="D215" s="401" t="s">
        <v>1379</v>
      </c>
      <c r="E215" s="401" t="s">
        <v>1379</v>
      </c>
      <c r="F215" s="401" t="s">
        <v>1533</v>
      </c>
      <c r="G215" s="400" t="str">
        <f t="shared" si="3"/>
        <v>CHf 200.-- / a.-J.</v>
      </c>
    </row>
    <row r="216" spans="1:7" ht="13" x14ac:dyDescent="0.3">
      <c r="A216" s="430" t="s">
        <v>1351</v>
      </c>
      <c r="B216" s="401" t="s">
        <v>1380</v>
      </c>
      <c r="C216" s="401" t="s">
        <v>1418</v>
      </c>
      <c r="D216" s="401" t="s">
        <v>1457</v>
      </c>
      <c r="E216" s="401" t="s">
        <v>1496</v>
      </c>
      <c r="F216" s="401" t="s">
        <v>1534</v>
      </c>
      <c r="G216" s="400" t="str">
        <f t="shared" si="3"/>
        <v>CHf 200.-- / 3 anno</v>
      </c>
    </row>
    <row r="217" spans="1:7" ht="13" x14ac:dyDescent="0.3">
      <c r="A217" s="430" t="s">
        <v>368</v>
      </c>
      <c r="B217" s="401" t="s">
        <v>1381</v>
      </c>
      <c r="C217" s="401" t="s">
        <v>1419</v>
      </c>
      <c r="D217" s="401" t="s">
        <v>1458</v>
      </c>
      <c r="E217" s="401" t="s">
        <v>1497</v>
      </c>
      <c r="F217" s="401" t="s">
        <v>1535</v>
      </c>
      <c r="G217" s="400" t="str">
        <f t="shared" si="3"/>
        <v>100% CH + MONDO</v>
      </c>
    </row>
    <row r="218" spans="1:7" ht="29" customHeight="1" x14ac:dyDescent="0.25">
      <c r="A218" s="400" t="s">
        <v>1537</v>
      </c>
      <c r="B218" s="400"/>
      <c r="C218" s="401"/>
      <c r="D218" s="400"/>
      <c r="E218" s="400"/>
      <c r="F218" s="400"/>
      <c r="G218" s="400" t="str">
        <f t="shared" si="3"/>
        <v>Grafico Cassa malati</v>
      </c>
    </row>
    <row r="219" spans="1:7" ht="13" x14ac:dyDescent="0.25">
      <c r="A219" s="431" t="s">
        <v>1538</v>
      </c>
      <c r="B219" s="401" t="s">
        <v>1542</v>
      </c>
      <c r="C219" s="401" t="s">
        <v>1546</v>
      </c>
      <c r="D219" s="401" t="s">
        <v>1549</v>
      </c>
      <c r="E219" s="401" t="s">
        <v>1553</v>
      </c>
      <c r="F219" s="401" t="s">
        <v>1557</v>
      </c>
      <c r="G219" s="400" t="str">
        <f t="shared" si="3"/>
        <v xml:space="preserve">COPERTURE ATTUALI </v>
      </c>
    </row>
    <row r="220" spans="1:7" ht="13" x14ac:dyDescent="0.25">
      <c r="A220" s="414" t="s">
        <v>387</v>
      </c>
      <c r="B220" s="401" t="s">
        <v>2799</v>
      </c>
      <c r="C220" s="401" t="s">
        <v>2674</v>
      </c>
      <c r="D220" s="401" t="s">
        <v>2675</v>
      </c>
      <c r="E220" s="401" t="s">
        <v>2676</v>
      </c>
      <c r="F220" s="401" t="s">
        <v>2677</v>
      </c>
      <c r="G220" s="400" t="str">
        <f t="shared" si="3"/>
        <v>SOLUZIONE PROPOSTA</v>
      </c>
    </row>
    <row r="221" spans="1:7" ht="13" x14ac:dyDescent="0.25">
      <c r="A221" s="412" t="s">
        <v>1539</v>
      </c>
      <c r="B221" s="401" t="s">
        <v>1543</v>
      </c>
      <c r="C221" s="401" t="s">
        <v>1547</v>
      </c>
      <c r="D221" s="401" t="s">
        <v>1550</v>
      </c>
      <c r="E221" s="401" t="s">
        <v>1554</v>
      </c>
      <c r="F221" s="401" t="s">
        <v>1558</v>
      </c>
      <c r="G221" s="400" t="str">
        <f t="shared" si="3"/>
        <v>Differenza / Anno</v>
      </c>
    </row>
    <row r="222" spans="1:7" ht="13" x14ac:dyDescent="0.25">
      <c r="A222" s="413" t="s">
        <v>1540</v>
      </c>
      <c r="B222" s="401" t="s">
        <v>1544</v>
      </c>
      <c r="C222" s="401" t="s">
        <v>1548</v>
      </c>
      <c r="D222" s="401" t="s">
        <v>1551</v>
      </c>
      <c r="E222" s="401" t="s">
        <v>1555</v>
      </c>
      <c r="F222" s="401" t="s">
        <v>1559</v>
      </c>
      <c r="G222" s="400" t="str">
        <f t="shared" si="3"/>
        <v xml:space="preserve">annuo </v>
      </c>
    </row>
    <row r="223" spans="1:7" ht="13" x14ac:dyDescent="0.25">
      <c r="A223" s="414" t="s">
        <v>192</v>
      </c>
      <c r="B223" s="401" t="s">
        <v>594</v>
      </c>
      <c r="C223" s="401" t="s">
        <v>600</v>
      </c>
      <c r="D223" s="401" t="s">
        <v>192</v>
      </c>
      <c r="E223" s="401" t="s">
        <v>595</v>
      </c>
      <c r="F223" s="401" t="s">
        <v>600</v>
      </c>
      <c r="G223" s="400" t="str">
        <f t="shared" si="3"/>
        <v>Cliente</v>
      </c>
    </row>
    <row r="224" spans="1:7" ht="13" x14ac:dyDescent="0.25">
      <c r="A224" s="414" t="s">
        <v>437</v>
      </c>
      <c r="B224" s="401" t="s">
        <v>437</v>
      </c>
      <c r="C224" s="401" t="s">
        <v>437</v>
      </c>
      <c r="D224" s="401" t="s">
        <v>437</v>
      </c>
      <c r="E224" s="401" t="s">
        <v>437</v>
      </c>
      <c r="F224" s="401" t="s">
        <v>437</v>
      </c>
      <c r="G224" s="400" t="str">
        <f t="shared" si="3"/>
        <v>Tot. LAMAL + LCA - KVG + VVG</v>
      </c>
    </row>
    <row r="225" spans="1:7" ht="13" x14ac:dyDescent="0.25">
      <c r="A225" s="414" t="s">
        <v>1541</v>
      </c>
      <c r="B225" s="401" t="s">
        <v>1545</v>
      </c>
      <c r="C225" s="401" t="s">
        <v>1545</v>
      </c>
      <c r="D225" s="401" t="s">
        <v>1552</v>
      </c>
      <c r="E225" s="401" t="s">
        <v>1556</v>
      </c>
      <c r="F225" s="401" t="s">
        <v>1560</v>
      </c>
      <c r="G225" s="400" t="str">
        <f t="shared" si="3"/>
        <v>Franchigia LAMAL - KVG</v>
      </c>
    </row>
    <row r="226" spans="1:7" ht="13" x14ac:dyDescent="0.25">
      <c r="A226" s="414" t="s">
        <v>438</v>
      </c>
      <c r="B226" s="414" t="s">
        <v>438</v>
      </c>
      <c r="C226" s="414" t="s">
        <v>438</v>
      </c>
      <c r="D226" s="414" t="s">
        <v>438</v>
      </c>
      <c r="E226" s="414" t="s">
        <v>438</v>
      </c>
      <c r="F226" s="414" t="s">
        <v>438</v>
      </c>
      <c r="G226" s="400" t="str">
        <f t="shared" si="3"/>
        <v>Base (LAMAL) - Basis (KVG)</v>
      </c>
    </row>
    <row r="227" spans="1:7" x14ac:dyDescent="0.25">
      <c r="A227" s="400" t="s">
        <v>203</v>
      </c>
      <c r="B227" s="401" t="s">
        <v>1561</v>
      </c>
      <c r="C227" s="401" t="s">
        <v>1563</v>
      </c>
      <c r="D227" s="401" t="s">
        <v>1565</v>
      </c>
      <c r="E227" s="401" t="s">
        <v>1567</v>
      </c>
      <c r="F227" s="401" t="s">
        <v>1569</v>
      </c>
      <c r="G227" s="400" t="str">
        <f t="shared" si="3"/>
        <v>Copertura</v>
      </c>
    </row>
    <row r="228" spans="1:7" x14ac:dyDescent="0.25">
      <c r="A228" s="400" t="s">
        <v>204</v>
      </c>
      <c r="B228" s="401" t="s">
        <v>1562</v>
      </c>
      <c r="C228" s="401" t="s">
        <v>1564</v>
      </c>
      <c r="D228" s="401" t="s">
        <v>1566</v>
      </c>
      <c r="E228" s="401" t="s">
        <v>1568</v>
      </c>
      <c r="F228" s="401" t="s">
        <v>1570</v>
      </c>
      <c r="G228" s="400" t="str">
        <f t="shared" si="3"/>
        <v>Rischio Spese</v>
      </c>
    </row>
    <row r="229" spans="1:7" x14ac:dyDescent="0.25">
      <c r="A229" s="400" t="s">
        <v>2661</v>
      </c>
      <c r="B229" t="s">
        <v>2662</v>
      </c>
      <c r="C229" t="s">
        <v>2663</v>
      </c>
      <c r="D229" t="s">
        <v>2664</v>
      </c>
      <c r="E229" t="s">
        <v>2665</v>
      </c>
      <c r="F229" t="s">
        <v>2666</v>
      </c>
      <c r="G229" s="400" t="str">
        <f t="shared" si="3"/>
        <v>Premi Assicurazioni sanitarie</v>
      </c>
    </row>
    <row r="230" spans="1:7" x14ac:dyDescent="0.25">
      <c r="A230" s="400" t="s">
        <v>1571</v>
      </c>
      <c r="B230" s="400" t="s">
        <v>2750</v>
      </c>
      <c r="C230" s="400"/>
      <c r="D230" s="400"/>
      <c r="E230" s="400"/>
      <c r="F230" s="400"/>
      <c r="G230" s="400" t="str">
        <f t="shared" si="3"/>
        <v>Grafico Figli</v>
      </c>
    </row>
    <row r="231" spans="1:7" ht="25" x14ac:dyDescent="0.25">
      <c r="A231" s="415" t="s">
        <v>338</v>
      </c>
      <c r="B231" s="401" t="s">
        <v>1573</v>
      </c>
      <c r="C231" s="401" t="s">
        <v>1593</v>
      </c>
      <c r="D231" s="401" t="s">
        <v>1616</v>
      </c>
      <c r="E231" s="401" t="s">
        <v>1639</v>
      </c>
      <c r="F231" s="401" t="s">
        <v>1662</v>
      </c>
      <c r="G231" s="400" t="str">
        <f t="shared" si="3"/>
        <v>GARANTIRE AI FIGLI IL FINANZIAMENTO DEGLI STUDI</v>
      </c>
    </row>
    <row r="232" spans="1:7" x14ac:dyDescent="0.25">
      <c r="A232" s="401" t="s">
        <v>337</v>
      </c>
      <c r="B232" s="401" t="s">
        <v>1574</v>
      </c>
      <c r="C232" s="401" t="s">
        <v>1594</v>
      </c>
      <c r="D232" s="401" t="s">
        <v>1617</v>
      </c>
      <c r="E232" s="401" t="s">
        <v>1640</v>
      </c>
      <c r="F232" s="401" t="s">
        <v>1663</v>
      </c>
      <c r="G232" s="400" t="str">
        <f t="shared" si="3"/>
        <v>Garantire gli studi a:</v>
      </c>
    </row>
    <row r="233" spans="1:7" x14ac:dyDescent="0.25">
      <c r="A233" s="416" t="s">
        <v>71</v>
      </c>
      <c r="B233" s="401" t="s">
        <v>403</v>
      </c>
      <c r="C233" s="401" t="s">
        <v>1595</v>
      </c>
      <c r="D233" s="401" t="s">
        <v>1618</v>
      </c>
      <c r="E233" s="401" t="s">
        <v>1641</v>
      </c>
      <c r="F233" s="401" t="s">
        <v>1664</v>
      </c>
      <c r="G233" s="400" t="str">
        <f t="shared" si="3"/>
        <v>Eta'</v>
      </c>
    </row>
    <row r="234" spans="1:7" x14ac:dyDescent="0.25">
      <c r="A234" s="417" t="s">
        <v>1572</v>
      </c>
      <c r="B234" s="401" t="s">
        <v>1575</v>
      </c>
      <c r="C234" s="401" t="s">
        <v>1596</v>
      </c>
      <c r="D234" s="401" t="s">
        <v>1619</v>
      </c>
      <c r="E234" s="401" t="s">
        <v>1642</v>
      </c>
      <c r="F234" s="401" t="s">
        <v>1665</v>
      </c>
      <c r="G234" s="400" t="str">
        <f t="shared" si="3"/>
        <v>Anni da ora alla fine degli studi</v>
      </c>
    </row>
    <row r="235" spans="1:7" x14ac:dyDescent="0.25">
      <c r="A235" s="416" t="s">
        <v>331</v>
      </c>
      <c r="B235" s="401" t="s">
        <v>1576</v>
      </c>
      <c r="C235" s="401" t="s">
        <v>1597</v>
      </c>
      <c r="D235" s="401" t="s">
        <v>1620</v>
      </c>
      <c r="E235" s="401" t="s">
        <v>1643</v>
      </c>
      <c r="F235" s="401" t="s">
        <v>1666</v>
      </c>
      <c r="G235" s="400" t="str">
        <f t="shared" si="3"/>
        <v>Tipo di studi desiderato per il figlio:</v>
      </c>
    </row>
    <row r="236" spans="1:7" x14ac:dyDescent="0.25">
      <c r="A236" s="416" t="s">
        <v>336</v>
      </c>
      <c r="B236" s="401" t="s">
        <v>2751</v>
      </c>
      <c r="C236" s="401" t="s">
        <v>1598</v>
      </c>
      <c r="D236" s="401" t="s">
        <v>1621</v>
      </c>
      <c r="E236" s="401" t="s">
        <v>1644</v>
      </c>
      <c r="F236" s="401" t="s">
        <v>1667</v>
      </c>
      <c r="G236" s="400" t="str">
        <f t="shared" si="3"/>
        <v>Luogo in cui potrebbero studiare:</v>
      </c>
    </row>
    <row r="237" spans="1:7" x14ac:dyDescent="0.25">
      <c r="A237" s="416" t="s">
        <v>349</v>
      </c>
      <c r="B237" s="401" t="s">
        <v>407</v>
      </c>
      <c r="C237" s="401" t="s">
        <v>1599</v>
      </c>
      <c r="D237" s="401" t="s">
        <v>1622</v>
      </c>
      <c r="E237" s="401" t="s">
        <v>1645</v>
      </c>
      <c r="F237" s="401" t="s">
        <v>1668</v>
      </c>
      <c r="G237" s="400" t="str">
        <f t="shared" si="3"/>
        <v>Durata degli studi possibile</v>
      </c>
    </row>
    <row r="238" spans="1:7" x14ac:dyDescent="0.25">
      <c r="A238" s="416" t="s">
        <v>332</v>
      </c>
      <c r="B238" s="401" t="s">
        <v>1577</v>
      </c>
      <c r="C238" s="401" t="s">
        <v>1600</v>
      </c>
      <c r="D238" s="401" t="s">
        <v>1623</v>
      </c>
      <c r="E238" s="401" t="s">
        <v>1646</v>
      </c>
      <c r="F238" s="401" t="s">
        <v>1669</v>
      </c>
      <c r="G238" s="400" t="str">
        <f t="shared" si="3"/>
        <v xml:space="preserve">Costo presumibile degli studi: </v>
      </c>
    </row>
    <row r="239" spans="1:7" x14ac:dyDescent="0.25">
      <c r="A239" s="416" t="s">
        <v>333</v>
      </c>
      <c r="B239" s="401" t="s">
        <v>1135</v>
      </c>
      <c r="C239" s="401" t="s">
        <v>1145</v>
      </c>
      <c r="D239" s="401" t="s">
        <v>1156</v>
      </c>
      <c r="E239" s="401" t="s">
        <v>1167</v>
      </c>
      <c r="F239" s="401" t="s">
        <v>1178</v>
      </c>
      <c r="G239" s="400" t="str">
        <f t="shared" si="3"/>
        <v>Capitale già disponibile</v>
      </c>
    </row>
    <row r="240" spans="1:7" ht="13" x14ac:dyDescent="0.25">
      <c r="A240" s="418" t="s">
        <v>361</v>
      </c>
      <c r="B240" s="401" t="s">
        <v>1578</v>
      </c>
      <c r="C240" s="401" t="s">
        <v>1601</v>
      </c>
      <c r="D240" s="401" t="s">
        <v>1624</v>
      </c>
      <c r="E240" s="401" t="s">
        <v>1647</v>
      </c>
      <c r="F240" s="401" t="s">
        <v>1670</v>
      </c>
      <c r="G240" s="400" t="str">
        <f t="shared" si="3"/>
        <v>Con risparmio mensile proposto</v>
      </c>
    </row>
    <row r="241" spans="1:7" ht="13" x14ac:dyDescent="0.25">
      <c r="A241" s="418" t="s">
        <v>362</v>
      </c>
      <c r="B241" s="401" t="s">
        <v>1579</v>
      </c>
      <c r="C241" s="401" t="s">
        <v>1602</v>
      </c>
      <c r="D241" s="401" t="s">
        <v>1625</v>
      </c>
      <c r="E241" s="401" t="s">
        <v>1648</v>
      </c>
      <c r="F241" s="401" t="s">
        <v>1671</v>
      </c>
      <c r="G241" s="400" t="str">
        <f t="shared" si="3"/>
        <v>Interesse medio previsto:</v>
      </c>
    </row>
    <row r="242" spans="1:7" x14ac:dyDescent="0.25">
      <c r="A242" s="416" t="s">
        <v>334</v>
      </c>
      <c r="B242" s="401" t="s">
        <v>1580</v>
      </c>
      <c r="C242" s="401" t="s">
        <v>1603</v>
      </c>
      <c r="D242" s="401" t="s">
        <v>1626</v>
      </c>
      <c r="E242" s="401" t="s">
        <v>1649</v>
      </c>
      <c r="F242" s="401" t="s">
        <v>1672</v>
      </c>
      <c r="G242" s="400" t="str">
        <f t="shared" si="3"/>
        <v xml:space="preserve">Capitale da reperire: </v>
      </c>
    </row>
    <row r="243" spans="1:7" ht="25" x14ac:dyDescent="0.25">
      <c r="A243" s="416" t="s">
        <v>335</v>
      </c>
      <c r="B243" s="401" t="s">
        <v>1581</v>
      </c>
      <c r="C243" s="401" t="s">
        <v>1604</v>
      </c>
      <c r="D243" s="401" t="s">
        <v>1627</v>
      </c>
      <c r="E243" s="401" t="s">
        <v>1650</v>
      </c>
      <c r="F243" s="401" t="s">
        <v>1673</v>
      </c>
      <c r="G243" s="400" t="str">
        <f t="shared" si="3"/>
        <v>Per garantire il futuro dei figli, necessitate in totale di: :</v>
      </c>
    </row>
    <row r="244" spans="1:7" x14ac:dyDescent="0.25">
      <c r="A244" s="416" t="s">
        <v>85</v>
      </c>
      <c r="B244" s="401" t="s">
        <v>1582</v>
      </c>
      <c r="C244" s="401" t="s">
        <v>1605</v>
      </c>
      <c r="D244" s="401" t="s">
        <v>1628</v>
      </c>
      <c r="E244" s="401" t="s">
        <v>1651</v>
      </c>
      <c r="F244" s="401" t="s">
        <v>1674</v>
      </c>
      <c r="G244" s="400" t="str">
        <f t="shared" si="3"/>
        <v>Totale necessario:</v>
      </c>
    </row>
    <row r="245" spans="1:7" ht="25" x14ac:dyDescent="0.25">
      <c r="A245" s="417" t="s">
        <v>350</v>
      </c>
      <c r="B245" s="401" t="s">
        <v>1583</v>
      </c>
      <c r="C245" s="401" t="s">
        <v>1606</v>
      </c>
      <c r="D245" s="401" t="s">
        <v>1629</v>
      </c>
      <c r="E245" s="401" t="s">
        <v>1652</v>
      </c>
      <c r="F245" s="401" t="s">
        <v>1675</v>
      </c>
      <c r="G245" s="400" t="str">
        <f t="shared" si="3"/>
        <v>Costi a figlio mediamente applicati per gli studi in Svizzera</v>
      </c>
    </row>
    <row r="246" spans="1:7" x14ac:dyDescent="0.25">
      <c r="A246" s="417" t="s">
        <v>339</v>
      </c>
      <c r="B246" s="401" t="s">
        <v>416</v>
      </c>
      <c r="C246" s="401" t="s">
        <v>1141</v>
      </c>
      <c r="D246" s="401" t="s">
        <v>1152</v>
      </c>
      <c r="E246" s="401" t="s">
        <v>1163</v>
      </c>
      <c r="F246" s="401" t="s">
        <v>1174</v>
      </c>
      <c r="G246" s="400" t="str">
        <f t="shared" si="3"/>
        <v>Livello di studio</v>
      </c>
    </row>
    <row r="247" spans="1:7" x14ac:dyDescent="0.25">
      <c r="A247" s="417" t="s">
        <v>340</v>
      </c>
      <c r="B247" s="401" t="s">
        <v>1584</v>
      </c>
      <c r="C247" s="401" t="s">
        <v>1607</v>
      </c>
      <c r="D247" s="401" t="s">
        <v>1630</v>
      </c>
      <c r="E247" s="401" t="s">
        <v>1653</v>
      </c>
      <c r="F247" s="401" t="s">
        <v>1676</v>
      </c>
      <c r="G247" s="400" t="str">
        <f t="shared" si="3"/>
        <v>Tipo di scuola</v>
      </c>
    </row>
    <row r="248" spans="1:7" x14ac:dyDescent="0.25">
      <c r="A248" s="417" t="s">
        <v>341</v>
      </c>
      <c r="B248" s="401" t="s">
        <v>1585</v>
      </c>
      <c r="C248" s="401" t="s">
        <v>1608</v>
      </c>
      <c r="D248" s="401" t="s">
        <v>1631</v>
      </c>
      <c r="E248" s="401" t="s">
        <v>1654</v>
      </c>
      <c r="F248" s="401" t="s">
        <v>1677</v>
      </c>
      <c r="G248" s="400" t="str">
        <f t="shared" si="3"/>
        <v>Tasse scolastiche annuali (CHF)</v>
      </c>
    </row>
    <row r="249" spans="1:7" x14ac:dyDescent="0.25">
      <c r="A249" s="417" t="s">
        <v>342</v>
      </c>
      <c r="B249" s="401" t="s">
        <v>1586</v>
      </c>
      <c r="C249" s="401" t="s">
        <v>1609</v>
      </c>
      <c r="D249" s="401" t="s">
        <v>1632</v>
      </c>
      <c r="E249" s="401" t="s">
        <v>1655</v>
      </c>
      <c r="F249" s="401" t="s">
        <v>1678</v>
      </c>
      <c r="G249" s="400" t="str">
        <f t="shared" si="3"/>
        <v>Costi aggiuntivi annuali (CHF)</v>
      </c>
    </row>
    <row r="250" spans="1:7" x14ac:dyDescent="0.25">
      <c r="A250" s="417" t="s">
        <v>343</v>
      </c>
      <c r="B250" s="401" t="s">
        <v>1587</v>
      </c>
      <c r="C250" s="401" t="s">
        <v>1610</v>
      </c>
      <c r="D250" s="401" t="s">
        <v>1633</v>
      </c>
      <c r="E250" s="401" t="s">
        <v>1656</v>
      </c>
      <c r="F250" s="401" t="s">
        <v>1679</v>
      </c>
      <c r="G250" s="400" t="str">
        <f t="shared" si="3"/>
        <v>Costi di alloggio annuali (CHF)</v>
      </c>
    </row>
    <row r="251" spans="1:7" x14ac:dyDescent="0.25">
      <c r="A251" s="417" t="s">
        <v>344</v>
      </c>
      <c r="B251" s="401" t="s">
        <v>1588</v>
      </c>
      <c r="C251" s="401" t="s">
        <v>1611</v>
      </c>
      <c r="D251" s="401" t="s">
        <v>1634</v>
      </c>
      <c r="E251" s="401" t="s">
        <v>1657</v>
      </c>
      <c r="F251" s="401" t="s">
        <v>1680</v>
      </c>
      <c r="G251" s="400" t="str">
        <f t="shared" si="3"/>
        <v>Scuola secondaria II</v>
      </c>
    </row>
    <row r="252" spans="1:7" x14ac:dyDescent="0.25">
      <c r="A252" s="417" t="s">
        <v>326</v>
      </c>
      <c r="B252" s="401" t="s">
        <v>418</v>
      </c>
      <c r="C252" s="401" t="s">
        <v>1410</v>
      </c>
      <c r="D252" s="401" t="s">
        <v>1449</v>
      </c>
      <c r="E252" s="401" t="s">
        <v>1488</v>
      </c>
      <c r="F252" s="401" t="s">
        <v>1525</v>
      </c>
      <c r="G252" s="400" t="str">
        <f t="shared" si="3"/>
        <v>Università</v>
      </c>
    </row>
    <row r="253" spans="1:7" x14ac:dyDescent="0.25">
      <c r="A253" s="417" t="s">
        <v>347</v>
      </c>
      <c r="B253" s="401" t="s">
        <v>1589</v>
      </c>
      <c r="C253" s="401" t="s">
        <v>1612</v>
      </c>
      <c r="D253" s="401" t="s">
        <v>1635</v>
      </c>
      <c r="E253" s="401" t="s">
        <v>1658</v>
      </c>
      <c r="F253" s="401" t="s">
        <v>1681</v>
      </c>
      <c r="G253" s="400" t="str">
        <f t="shared" si="3"/>
        <v>Scuole professionali superiori</v>
      </c>
    </row>
    <row r="254" spans="1:7" x14ac:dyDescent="0.25">
      <c r="A254" s="417" t="s">
        <v>345</v>
      </c>
      <c r="B254" s="401" t="s">
        <v>1590</v>
      </c>
      <c r="C254" s="401" t="s">
        <v>1613</v>
      </c>
      <c r="D254" s="401" t="s">
        <v>1636</v>
      </c>
      <c r="E254" s="401" t="s">
        <v>1659</v>
      </c>
      <c r="F254" s="401" t="s">
        <v>1682</v>
      </c>
      <c r="G254" s="400" t="str">
        <f t="shared" si="3"/>
        <v>Pubblica</v>
      </c>
    </row>
    <row r="255" spans="1:7" x14ac:dyDescent="0.25">
      <c r="A255" s="417" t="s">
        <v>346</v>
      </c>
      <c r="B255" s="401" t="s">
        <v>1591</v>
      </c>
      <c r="C255" s="401" t="s">
        <v>1614</v>
      </c>
      <c r="D255" s="401" t="s">
        <v>1637</v>
      </c>
      <c r="E255" s="401" t="s">
        <v>1660</v>
      </c>
      <c r="F255" s="401" t="s">
        <v>1683</v>
      </c>
      <c r="G255" s="400" t="str">
        <f t="shared" si="3"/>
        <v>Privata</v>
      </c>
    </row>
    <row r="256" spans="1:7" x14ac:dyDescent="0.25">
      <c r="A256" s="417" t="s">
        <v>348</v>
      </c>
      <c r="B256" s="401" t="s">
        <v>1592</v>
      </c>
      <c r="C256" s="401" t="s">
        <v>1615</v>
      </c>
      <c r="D256" s="401" t="s">
        <v>1638</v>
      </c>
      <c r="E256" s="401" t="s">
        <v>1661</v>
      </c>
      <c r="F256" s="401" t="s">
        <v>1684</v>
      </c>
      <c r="G256" s="400" t="str">
        <f t="shared" si="3"/>
        <v>Pubblica/riconosciuta</v>
      </c>
    </row>
    <row r="257" spans="1:7" x14ac:dyDescent="0.25">
      <c r="A257" s="417" t="s">
        <v>2667</v>
      </c>
      <c r="B257" t="s">
        <v>2668</v>
      </c>
      <c r="C257" t="s">
        <v>2669</v>
      </c>
      <c r="D257" t="s">
        <v>2670</v>
      </c>
      <c r="E257" t="s">
        <v>2671</v>
      </c>
      <c r="F257" t="s">
        <v>2672</v>
      </c>
      <c r="G257" s="400" t="str">
        <f t="shared" si="3"/>
        <v>Famiglia intera</v>
      </c>
    </row>
    <row r="258" spans="1:7" x14ac:dyDescent="0.25">
      <c r="A258" s="417" t="s">
        <v>1538</v>
      </c>
      <c r="B258" t="s">
        <v>1542</v>
      </c>
      <c r="C258" t="s">
        <v>1546</v>
      </c>
      <c r="D258" t="s">
        <v>1549</v>
      </c>
      <c r="E258" t="s">
        <v>1553</v>
      </c>
      <c r="F258" t="s">
        <v>1557</v>
      </c>
      <c r="G258" s="400" t="str">
        <f t="shared" si="3"/>
        <v xml:space="preserve">COPERTURE ATTUALI </v>
      </c>
    </row>
    <row r="259" spans="1:7" x14ac:dyDescent="0.25">
      <c r="A259" s="400" t="s">
        <v>387</v>
      </c>
      <c r="B259" t="s">
        <v>2673</v>
      </c>
      <c r="C259" t="s">
        <v>2674</v>
      </c>
      <c r="D259" t="s">
        <v>2675</v>
      </c>
      <c r="E259" t="s">
        <v>2676</v>
      </c>
      <c r="F259" t="s">
        <v>2677</v>
      </c>
      <c r="G259" s="400" t="str">
        <f t="shared" si="3"/>
        <v>SOLUZIONE PROPOSTA</v>
      </c>
    </row>
    <row r="260" spans="1:7" x14ac:dyDescent="0.25">
      <c r="A260" s="416" t="s">
        <v>1685</v>
      </c>
      <c r="B260" s="401" t="s">
        <v>424</v>
      </c>
      <c r="C260" s="401" t="s">
        <v>1704</v>
      </c>
      <c r="D260" s="401" t="s">
        <v>1685</v>
      </c>
      <c r="E260" s="401" t="s">
        <v>1726</v>
      </c>
      <c r="F260" s="401" t="s">
        <v>1748</v>
      </c>
      <c r="G260" s="400" t="str">
        <f t="shared" ref="G260:G286" si="4">IF($C$1="IT",A260,IF($C$1="DE",B260,IF($C$1="FR",C260,IF($C$1="PT",D260,IF($C$1="RU",E260,IF($C$1="EN",F260,A260))))))</f>
        <v>Previdenza per la Vecchiaia</v>
      </c>
    </row>
    <row r="261" spans="1:7" x14ac:dyDescent="0.25">
      <c r="A261" s="416" t="s">
        <v>35</v>
      </c>
      <c r="B261" s="401" t="s">
        <v>1687</v>
      </c>
      <c r="C261" s="401" t="s">
        <v>1705</v>
      </c>
      <c r="D261" s="401" t="s">
        <v>1770</v>
      </c>
      <c r="E261" s="401" t="s">
        <v>1727</v>
      </c>
      <c r="F261" s="401" t="s">
        <v>1749</v>
      </c>
      <c r="G261" s="400" t="str">
        <f t="shared" si="4"/>
        <v>Calcolo previdenziale per:</v>
      </c>
    </row>
    <row r="262" spans="1:7" x14ac:dyDescent="0.25">
      <c r="A262" s="416" t="s">
        <v>71</v>
      </c>
      <c r="B262" s="401" t="s">
        <v>403</v>
      </c>
      <c r="C262" s="401" t="s">
        <v>1595</v>
      </c>
      <c r="D262" s="401" t="s">
        <v>1618</v>
      </c>
      <c r="E262" s="401" t="s">
        <v>1641</v>
      </c>
      <c r="F262" s="401" t="s">
        <v>1664</v>
      </c>
      <c r="G262" s="400" t="str">
        <f t="shared" si="4"/>
        <v>Eta'</v>
      </c>
    </row>
    <row r="263" spans="1:7" x14ac:dyDescent="0.25">
      <c r="A263" s="416" t="s">
        <v>72</v>
      </c>
      <c r="B263" s="401" t="s">
        <v>426</v>
      </c>
      <c r="C263" s="401" t="s">
        <v>1706</v>
      </c>
      <c r="D263" s="401" t="s">
        <v>1771</v>
      </c>
      <c r="E263" s="401" t="s">
        <v>1728</v>
      </c>
      <c r="F263" s="401" t="s">
        <v>1750</v>
      </c>
      <c r="G263" s="400" t="str">
        <f t="shared" si="4"/>
        <v>Anni Contribuzione</v>
      </c>
    </row>
    <row r="264" spans="1:7" x14ac:dyDescent="0.25">
      <c r="A264" s="416" t="s">
        <v>73</v>
      </c>
      <c r="B264" s="401" t="s">
        <v>1688</v>
      </c>
      <c r="C264" s="401" t="s">
        <v>1707</v>
      </c>
      <c r="D264" s="401" t="s">
        <v>1772</v>
      </c>
      <c r="E264" s="401" t="s">
        <v>1729</v>
      </c>
      <c r="F264" s="401" t="s">
        <v>1751</v>
      </c>
      <c r="G264" s="400" t="str">
        <f t="shared" si="4"/>
        <v>Anni al pensionamento</v>
      </c>
    </row>
    <row r="265" spans="1:7" x14ac:dyDescent="0.25">
      <c r="A265" s="416" t="s">
        <v>74</v>
      </c>
      <c r="B265" s="401" t="s">
        <v>1689</v>
      </c>
      <c r="C265" s="401" t="s">
        <v>1708</v>
      </c>
      <c r="D265" s="401" t="s">
        <v>1773</v>
      </c>
      <c r="E265" s="401" t="s">
        <v>1730</v>
      </c>
      <c r="F265" s="401" t="s">
        <v>1752</v>
      </c>
      <c r="G265" s="400" t="str">
        <f t="shared" si="4"/>
        <v>Reddito Annuo Desiderato (fabbisogno)</v>
      </c>
    </row>
    <row r="266" spans="1:7" x14ac:dyDescent="0.25">
      <c r="A266" s="416" t="s">
        <v>75</v>
      </c>
      <c r="B266" s="401" t="s">
        <v>429</v>
      </c>
      <c r="C266" s="401" t="s">
        <v>1709</v>
      </c>
      <c r="D266" s="401" t="s">
        <v>1774</v>
      </c>
      <c r="E266" s="401" t="s">
        <v>1731</v>
      </c>
      <c r="F266" s="401" t="s">
        <v>1753</v>
      </c>
      <c r="G266" s="400" t="str">
        <f t="shared" si="4"/>
        <v>Rendita annua AVS attesa</v>
      </c>
    </row>
    <row r="267" spans="1:7" x14ac:dyDescent="0.25">
      <c r="A267" s="416" t="s">
        <v>76</v>
      </c>
      <c r="B267" s="401" t="s">
        <v>430</v>
      </c>
      <c r="C267" s="401" t="s">
        <v>1710</v>
      </c>
      <c r="D267" s="401" t="s">
        <v>1775</v>
      </c>
      <c r="E267" s="401" t="s">
        <v>1732</v>
      </c>
      <c r="F267" s="401" t="s">
        <v>1754</v>
      </c>
      <c r="G267" s="400" t="str">
        <f t="shared" si="4"/>
        <v>Rendita annua LPP attesa</v>
      </c>
    </row>
    <row r="268" spans="1:7" x14ac:dyDescent="0.25">
      <c r="A268" s="416" t="s">
        <v>77</v>
      </c>
      <c r="B268" s="401" t="s">
        <v>1690</v>
      </c>
      <c r="C268" s="401" t="s">
        <v>1711</v>
      </c>
      <c r="D268" s="401" t="s">
        <v>1776</v>
      </c>
      <c r="E268" s="401" t="s">
        <v>1733</v>
      </c>
      <c r="F268" s="401" t="s">
        <v>1755</v>
      </c>
      <c r="G268" s="400" t="str">
        <f t="shared" si="4"/>
        <v>Totale rendita di pensione attesa</v>
      </c>
    </row>
    <row r="269" spans="1:7" x14ac:dyDescent="0.25">
      <c r="A269" s="416" t="s">
        <v>78</v>
      </c>
      <c r="B269" s="401" t="s">
        <v>1691</v>
      </c>
      <c r="C269" s="401" t="s">
        <v>1712</v>
      </c>
      <c r="D269" s="401" t="s">
        <v>1777</v>
      </c>
      <c r="E269" s="401" t="s">
        <v>1734</v>
      </c>
      <c r="F269" s="401" t="s">
        <v>1756</v>
      </c>
      <c r="G269" s="400" t="str">
        <f t="shared" si="4"/>
        <v>Reddito Annuo Mancante</v>
      </c>
    </row>
    <row r="270" spans="1:7" ht="25" x14ac:dyDescent="0.25">
      <c r="A270" s="416" t="s">
        <v>79</v>
      </c>
      <c r="B270" s="401" t="s">
        <v>2752</v>
      </c>
      <c r="C270" s="401" t="s">
        <v>1713</v>
      </c>
      <c r="D270" s="401" t="s">
        <v>1778</v>
      </c>
      <c r="E270" s="401" t="s">
        <v>1735</v>
      </c>
      <c r="F270" s="401" t="s">
        <v>1757</v>
      </c>
      <c r="G270" s="400" t="str">
        <f t="shared" si="4"/>
        <v>Cosa fareste se da domani dovessero mancarvi</v>
      </c>
    </row>
    <row r="271" spans="1:7" ht="25" x14ac:dyDescent="0.25">
      <c r="A271" s="416" t="s">
        <v>81</v>
      </c>
      <c r="B271" s="401" t="s">
        <v>1692</v>
      </c>
      <c r="C271" s="401" t="s">
        <v>1714</v>
      </c>
      <c r="D271" s="401" t="s">
        <v>1779</v>
      </c>
      <c r="E271" s="401" t="s">
        <v>1736</v>
      </c>
      <c r="F271" s="401" t="s">
        <v>1758</v>
      </c>
      <c r="G271" s="400" t="str">
        <f t="shared" si="4"/>
        <v>Questo e' esattamente quello che accadra' se non fate qualcosa per migliorare i vostri diritti previdenziali!</v>
      </c>
    </row>
    <row r="272" spans="1:7" x14ac:dyDescent="0.25">
      <c r="A272" s="398" t="s">
        <v>80</v>
      </c>
      <c r="B272" s="401" t="s">
        <v>1693</v>
      </c>
      <c r="C272" s="401" t="s">
        <v>1715</v>
      </c>
      <c r="D272" s="401" t="s">
        <v>1780</v>
      </c>
      <c r="E272" s="401" t="s">
        <v>1737</v>
      </c>
      <c r="F272" s="401" t="s">
        <v>1759</v>
      </c>
      <c r="G272" s="400" t="str">
        <f t="shared" si="4"/>
        <v>al mese?</v>
      </c>
    </row>
    <row r="273" spans="1:7" ht="25" x14ac:dyDescent="0.25">
      <c r="A273" s="416" t="s">
        <v>82</v>
      </c>
      <c r="B273" s="401" t="s">
        <v>1694</v>
      </c>
      <c r="C273" s="401" t="s">
        <v>1716</v>
      </c>
      <c r="D273" s="401" t="s">
        <v>1781</v>
      </c>
      <c r="E273" s="401" t="s">
        <v>1738</v>
      </c>
      <c r="F273" s="401" t="s">
        <v>1760</v>
      </c>
      <c r="G273" s="400" t="str">
        <f t="shared" si="4"/>
        <v>Per mantenere la qualita' di vita attuale, necessitate entro il pensionamento:</v>
      </c>
    </row>
    <row r="274" spans="1:7" x14ac:dyDescent="0.25">
      <c r="A274" s="416" t="s">
        <v>83</v>
      </c>
      <c r="B274" s="401" t="s">
        <v>1695</v>
      </c>
      <c r="C274" s="401" t="s">
        <v>1717</v>
      </c>
      <c r="D274" s="401" t="s">
        <v>1782</v>
      </c>
      <c r="E274" s="401" t="s">
        <v>1739</v>
      </c>
      <c r="F274" s="401" t="s">
        <v>1761</v>
      </c>
      <c r="G274" s="400" t="str">
        <f t="shared" si="4"/>
        <v>Reddito annuo mancante:</v>
      </c>
    </row>
    <row r="275" spans="1:7" ht="25" x14ac:dyDescent="0.25">
      <c r="A275" s="416" t="s">
        <v>84</v>
      </c>
      <c r="B275" s="401" t="s">
        <v>1696</v>
      </c>
      <c r="C275" s="401" t="s">
        <v>1718</v>
      </c>
      <c r="D275" s="401" t="s">
        <v>1783</v>
      </c>
      <c r="E275" s="401" t="s">
        <v>1740</v>
      </c>
      <c r="F275" s="401" t="s">
        <v>1762</v>
      </c>
      <c r="G275" s="400" t="str">
        <f t="shared" si="4"/>
        <v>Impegni dal liquidare entro il pensionamento:</v>
      </c>
    </row>
    <row r="276" spans="1:7" x14ac:dyDescent="0.25">
      <c r="A276" s="416" t="s">
        <v>85</v>
      </c>
      <c r="B276" s="401" t="s">
        <v>1582</v>
      </c>
      <c r="C276" s="401" t="s">
        <v>1605</v>
      </c>
      <c r="D276" s="401" t="s">
        <v>1628</v>
      </c>
      <c r="E276" s="401" t="s">
        <v>1651</v>
      </c>
      <c r="F276" s="401" t="s">
        <v>1674</v>
      </c>
      <c r="G276" s="400" t="str">
        <f t="shared" si="4"/>
        <v>Totale necessario:</v>
      </c>
    </row>
    <row r="277" spans="1:7" ht="25" x14ac:dyDescent="0.25">
      <c r="A277" s="416" t="s">
        <v>1686</v>
      </c>
      <c r="B277" s="401" t="s">
        <v>1697</v>
      </c>
      <c r="C277" s="401" t="s">
        <v>1719</v>
      </c>
      <c r="D277" s="401" t="s">
        <v>1784</v>
      </c>
      <c r="E277" s="401" t="s">
        <v>1741</v>
      </c>
      <c r="F277" s="401" t="s">
        <v>1763</v>
      </c>
      <c r="G277" s="400" t="str">
        <f t="shared" si="4"/>
        <v>Quanto dovreste risparmiare mensilmente per raggiungere entro il pensionamento il capitale di:</v>
      </c>
    </row>
    <row r="278" spans="1:7" x14ac:dyDescent="0.25">
      <c r="A278" s="416" t="s">
        <v>86</v>
      </c>
      <c r="B278" s="401" t="s">
        <v>1698</v>
      </c>
      <c r="C278" s="401" t="s">
        <v>1720</v>
      </c>
      <c r="D278" s="401" t="s">
        <v>1785</v>
      </c>
      <c r="E278" s="401" t="s">
        <v>1742</v>
      </c>
      <c r="F278" s="401" t="s">
        <v>1764</v>
      </c>
      <c r="G278" s="400" t="str">
        <f t="shared" si="4"/>
        <v>Se si comincia a 25 anni</v>
      </c>
    </row>
    <row r="279" spans="1:7" x14ac:dyDescent="0.25">
      <c r="A279" s="416" t="s">
        <v>88</v>
      </c>
      <c r="B279" s="401" t="s">
        <v>1699</v>
      </c>
      <c r="C279" s="401" t="s">
        <v>1721</v>
      </c>
      <c r="D279" s="401" t="s">
        <v>1786</v>
      </c>
      <c r="E279" s="401" t="s">
        <v>1743</v>
      </c>
      <c r="F279" s="401" t="s">
        <v>1765</v>
      </c>
      <c r="G279" s="400" t="str">
        <f t="shared" si="4"/>
        <v>Se si comincia a 35 anni</v>
      </c>
    </row>
    <row r="280" spans="1:7" x14ac:dyDescent="0.25">
      <c r="A280" s="416" t="s">
        <v>89</v>
      </c>
      <c r="B280" s="401" t="s">
        <v>1700</v>
      </c>
      <c r="C280" s="401" t="s">
        <v>1722</v>
      </c>
      <c r="D280" s="401" t="s">
        <v>1787</v>
      </c>
      <c r="E280" s="401" t="s">
        <v>1744</v>
      </c>
      <c r="F280" s="401" t="s">
        <v>1766</v>
      </c>
      <c r="G280" s="400" t="str">
        <f t="shared" si="4"/>
        <v>Se si comincia a 45 anni</v>
      </c>
    </row>
    <row r="281" spans="1:7" x14ac:dyDescent="0.25">
      <c r="A281" s="416" t="s">
        <v>90</v>
      </c>
      <c r="B281" s="401" t="s">
        <v>1701</v>
      </c>
      <c r="C281" s="401" t="s">
        <v>1723</v>
      </c>
      <c r="D281" s="401" t="s">
        <v>1788</v>
      </c>
      <c r="E281" s="401" t="s">
        <v>1745</v>
      </c>
      <c r="F281" s="401" t="s">
        <v>1767</v>
      </c>
      <c r="G281" s="400" t="str">
        <f t="shared" si="4"/>
        <v>Se si comincia a 55 anni</v>
      </c>
    </row>
    <row r="282" spans="1:7" x14ac:dyDescent="0.25">
      <c r="A282" s="416" t="s">
        <v>87</v>
      </c>
      <c r="B282" s="401" t="s">
        <v>1702</v>
      </c>
      <c r="C282" s="401" t="s">
        <v>1724</v>
      </c>
      <c r="D282" s="401" t="s">
        <v>1789</v>
      </c>
      <c r="E282" s="401" t="s">
        <v>1746</v>
      </c>
      <c r="F282" s="401" t="s">
        <v>1768</v>
      </c>
      <c r="G282" s="400" t="str">
        <f t="shared" si="4"/>
        <v>Al 6% di interesse</v>
      </c>
    </row>
    <row r="283" spans="1:7" x14ac:dyDescent="0.25">
      <c r="A283" s="416" t="s">
        <v>87</v>
      </c>
      <c r="B283" s="401" t="s">
        <v>1702</v>
      </c>
      <c r="C283" s="401" t="s">
        <v>1724</v>
      </c>
      <c r="D283" s="401" t="s">
        <v>1789</v>
      </c>
      <c r="E283" s="401" t="s">
        <v>1746</v>
      </c>
      <c r="F283" s="401" t="s">
        <v>1768</v>
      </c>
      <c r="G283" s="400" t="str">
        <f t="shared" si="4"/>
        <v>Al 6% di interesse</v>
      </c>
    </row>
    <row r="284" spans="1:7" x14ac:dyDescent="0.25">
      <c r="A284" s="416" t="s">
        <v>87</v>
      </c>
      <c r="B284" s="401" t="s">
        <v>1702</v>
      </c>
      <c r="C284" s="401" t="s">
        <v>1724</v>
      </c>
      <c r="D284" s="401" t="s">
        <v>1789</v>
      </c>
      <c r="E284" s="401" t="s">
        <v>1746</v>
      </c>
      <c r="F284" s="401" t="s">
        <v>1768</v>
      </c>
      <c r="G284" s="400" t="str">
        <f t="shared" si="4"/>
        <v>Al 6% di interesse</v>
      </c>
    </row>
    <row r="285" spans="1:7" x14ac:dyDescent="0.25">
      <c r="A285" s="416" t="s">
        <v>87</v>
      </c>
      <c r="B285" s="401" t="s">
        <v>1702</v>
      </c>
      <c r="C285" s="401" t="s">
        <v>1724</v>
      </c>
      <c r="D285" s="401" t="s">
        <v>1789</v>
      </c>
      <c r="E285" s="401" t="s">
        <v>1746</v>
      </c>
      <c r="F285" s="401" t="s">
        <v>1768</v>
      </c>
      <c r="G285" s="400" t="str">
        <f t="shared" si="4"/>
        <v>Al 6% di interesse</v>
      </c>
    </row>
    <row r="286" spans="1:7" ht="37.5" x14ac:dyDescent="0.25">
      <c r="A286" s="416" t="s">
        <v>2659</v>
      </c>
      <c r="B286" s="401" t="s">
        <v>1703</v>
      </c>
      <c r="C286" s="401" t="s">
        <v>1725</v>
      </c>
      <c r="D286" s="401" t="s">
        <v>1790</v>
      </c>
      <c r="E286" s="401" t="s">
        <v>1747</v>
      </c>
      <c r="F286" s="401" t="s">
        <v>1769</v>
      </c>
      <c r="G286" s="400" t="str">
        <f t="shared" si="4"/>
        <v>E' quindi piu' che mai importante pensare in tempo a garantirsi privatamente un capitale che possa permetterci di far fronte alla terza parte della nostra vita!</v>
      </c>
    </row>
    <row r="287" spans="1:7" x14ac:dyDescent="0.25">
      <c r="A287" s="400"/>
      <c r="B287" s="416"/>
      <c r="C287" s="400"/>
      <c r="D287" s="401"/>
      <c r="E287" s="400"/>
      <c r="F287" s="401"/>
      <c r="G287" s="400"/>
    </row>
    <row r="288" spans="1:7" x14ac:dyDescent="0.25">
      <c r="A288" s="400"/>
      <c r="B288" s="400"/>
      <c r="C288" s="400"/>
      <c r="D288" s="400"/>
      <c r="E288" s="400"/>
      <c r="F288" s="400"/>
      <c r="G288" s="400"/>
    </row>
    <row r="289" spans="1:7" x14ac:dyDescent="0.25">
      <c r="A289" s="419" t="s">
        <v>31</v>
      </c>
      <c r="B289" s="401" t="s">
        <v>2753</v>
      </c>
      <c r="C289" s="401" t="s">
        <v>1791</v>
      </c>
      <c r="D289" s="401" t="s">
        <v>1795</v>
      </c>
      <c r="E289" s="401" t="s">
        <v>1799</v>
      </c>
      <c r="F289" s="401" t="s">
        <v>1803</v>
      </c>
      <c r="G289" s="400" t="str">
        <f t="shared" ref="G289:G320" si="5">IF($C$1="IT",A289,IF($C$1="DE",B289,IF($C$1="FR",C289,IF($C$1="PT",D289,IF($C$1="RU",E289,IF($C$1="EN",F289,A289))))))</f>
        <v>Situazione previdenziale per:</v>
      </c>
    </row>
    <row r="290" spans="1:7" x14ac:dyDescent="0.25">
      <c r="A290" s="419" t="s">
        <v>33</v>
      </c>
      <c r="B290" s="401" t="s">
        <v>2628</v>
      </c>
      <c r="C290" s="401" t="s">
        <v>1792</v>
      </c>
      <c r="D290" s="401" t="s">
        <v>1796</v>
      </c>
      <c r="E290" s="401" t="s">
        <v>1800</v>
      </c>
      <c r="F290" s="401" t="s">
        <v>1804</v>
      </c>
      <c r="G290" s="400" t="str">
        <f t="shared" si="5"/>
        <v>Calcolo effettuato da:</v>
      </c>
    </row>
    <row r="291" spans="1:7" x14ac:dyDescent="0.25">
      <c r="A291" s="419" t="s">
        <v>32</v>
      </c>
      <c r="B291" s="401" t="s">
        <v>456</v>
      </c>
      <c r="C291" s="401" t="s">
        <v>1793</v>
      </c>
      <c r="D291" s="401" t="s">
        <v>1797</v>
      </c>
      <c r="E291" s="401" t="s">
        <v>1801</v>
      </c>
      <c r="F291" s="401" t="s">
        <v>1805</v>
      </c>
      <c r="G291" s="400" t="str">
        <f t="shared" si="5"/>
        <v>Parametri di calcolo:</v>
      </c>
    </row>
    <row r="292" spans="1:7" x14ac:dyDescent="0.25">
      <c r="A292" s="419" t="s">
        <v>2</v>
      </c>
      <c r="B292" s="401" t="s">
        <v>457</v>
      </c>
      <c r="C292" s="401" t="s">
        <v>1794</v>
      </c>
      <c r="D292" s="401" t="s">
        <v>1798</v>
      </c>
      <c r="E292" s="401" t="s">
        <v>1802</v>
      </c>
      <c r="F292" s="401" t="s">
        <v>1806</v>
      </c>
      <c r="G292" s="400" t="str">
        <f t="shared" si="5"/>
        <v>Calcolo del:</v>
      </c>
    </row>
    <row r="293" spans="1:7" x14ac:dyDescent="0.25">
      <c r="A293" s="400" t="s">
        <v>2626</v>
      </c>
      <c r="B293" s="401" t="s">
        <v>2627</v>
      </c>
      <c r="C293" s="401" t="s">
        <v>1807</v>
      </c>
      <c r="D293" s="401" t="s">
        <v>1808</v>
      </c>
      <c r="E293" s="401" t="s">
        <v>1809</v>
      </c>
      <c r="F293" s="401" t="s">
        <v>1810</v>
      </c>
      <c r="G293" s="400" t="str">
        <f t="shared" si="5"/>
        <v>Coperture coniuge decesso di</v>
      </c>
    </row>
    <row r="294" spans="1:7" ht="12.5" customHeight="1" x14ac:dyDescent="0.25">
      <c r="A294" s="400" t="s">
        <v>2573</v>
      </c>
      <c r="B294" s="401" t="s">
        <v>2572</v>
      </c>
      <c r="C294" s="401" t="s">
        <v>2574</v>
      </c>
      <c r="D294" s="401" t="s">
        <v>2576</v>
      </c>
      <c r="E294" s="401" t="s">
        <v>2575</v>
      </c>
      <c r="F294" s="401" t="s">
        <v>2577</v>
      </c>
      <c r="G294" s="400" t="str">
        <f t="shared" si="5"/>
        <v xml:space="preserve">Scala 44 AVS/AI/IPG + Info fornite da: </v>
      </c>
    </row>
    <row r="295" spans="1:7" ht="12.5" customHeight="1" x14ac:dyDescent="0.25">
      <c r="A295" s="400" t="s">
        <v>3754</v>
      </c>
      <c r="B295" s="401" t="s">
        <v>3755</v>
      </c>
      <c r="C295" s="401" t="s">
        <v>3756</v>
      </c>
      <c r="D295" s="401" t="s">
        <v>3757</v>
      </c>
      <c r="E295" s="401" t="s">
        <v>3758</v>
      </c>
      <c r="F295" s="401" t="s">
        <v>3759</v>
      </c>
      <c r="G295" s="400" t="str">
        <f t="shared" ref="G295" si="6">IF($C$1="IT",A295,IF($C$1="DE",B295,IF($C$1="FR",C295,IF($C$1="PT",D295,IF($C$1="RU",E295,IF($C$1="EN",F295,A295))))))</f>
        <v xml:space="preserve">Info fornite da: </v>
      </c>
    </row>
    <row r="296" spans="1:7" x14ac:dyDescent="0.25">
      <c r="A296" s="400" t="s">
        <v>1811</v>
      </c>
      <c r="B296" s="401" t="s">
        <v>1812</v>
      </c>
      <c r="C296" s="401" t="s">
        <v>1822</v>
      </c>
      <c r="D296" s="401" t="s">
        <v>1839</v>
      </c>
      <c r="E296" s="401" t="s">
        <v>1855</v>
      </c>
      <c r="F296" s="401" t="s">
        <v>1871</v>
      </c>
      <c r="G296" s="400" t="str">
        <f t="shared" si="5"/>
        <v>Grafici previsdenza</v>
      </c>
    </row>
    <row r="297" spans="1:7" ht="13" x14ac:dyDescent="0.3">
      <c r="A297" s="410" t="s">
        <v>117</v>
      </c>
      <c r="B297" s="401" t="s">
        <v>1813</v>
      </c>
      <c r="C297" s="401" t="s">
        <v>1823</v>
      </c>
      <c r="D297" s="401" t="s">
        <v>1840</v>
      </c>
      <c r="E297" s="401" t="s">
        <v>1856</v>
      </c>
      <c r="F297" s="401" t="s">
        <v>1872</v>
      </c>
      <c r="G297" s="400" t="str">
        <f t="shared" si="5"/>
        <v>Reddito in caso di Malattia</v>
      </c>
    </row>
    <row r="298" spans="1:7" ht="13" x14ac:dyDescent="0.3">
      <c r="A298" s="410" t="s">
        <v>2593</v>
      </c>
      <c r="B298" s="401" t="s">
        <v>2592</v>
      </c>
      <c r="C298" s="401" t="s">
        <v>1824</v>
      </c>
      <c r="D298" s="401" t="s">
        <v>1841</v>
      </c>
      <c r="E298" s="401" t="s">
        <v>1857</v>
      </c>
      <c r="F298" s="401" t="s">
        <v>1873</v>
      </c>
      <c r="G298" s="400" t="str">
        <f t="shared" si="5"/>
        <v>Fabbisogno mensile</v>
      </c>
    </row>
    <row r="299" spans="1:7" ht="13" x14ac:dyDescent="0.3">
      <c r="A299" s="410" t="s">
        <v>2594</v>
      </c>
      <c r="B299" s="401" t="s">
        <v>2754</v>
      </c>
      <c r="C299" s="401" t="s">
        <v>2595</v>
      </c>
      <c r="D299" s="401" t="s">
        <v>2596</v>
      </c>
      <c r="E299" s="401" t="s">
        <v>2597</v>
      </c>
      <c r="F299" s="401" t="s">
        <v>2598</v>
      </c>
      <c r="G299" s="400" t="str">
        <f t="shared" si="5"/>
        <v>Malattia: I.G. - 720 gg.</v>
      </c>
    </row>
    <row r="300" spans="1:7" ht="13" x14ac:dyDescent="0.3">
      <c r="A300" s="410" t="s">
        <v>2591</v>
      </c>
      <c r="B300" s="401" t="s">
        <v>2599</v>
      </c>
      <c r="C300" s="401" t="s">
        <v>1825</v>
      </c>
      <c r="D300" s="401" t="s">
        <v>1842</v>
      </c>
      <c r="E300" s="401" t="s">
        <v>1858</v>
      </c>
      <c r="F300" s="401" t="s">
        <v>1874</v>
      </c>
      <c r="G300" s="400" t="str">
        <f t="shared" si="5"/>
        <v>Inv. con suppl. x figli &lt; 18/25 anni</v>
      </c>
    </row>
    <row r="301" spans="1:7" ht="13" x14ac:dyDescent="0.3">
      <c r="A301" s="410" t="s">
        <v>120</v>
      </c>
      <c r="B301" s="401" t="s">
        <v>2600</v>
      </c>
      <c r="C301" s="401" t="s">
        <v>1826</v>
      </c>
      <c r="D301" s="401" t="s">
        <v>1843</v>
      </c>
      <c r="E301" s="401" t="s">
        <v>1859</v>
      </c>
      <c r="F301" s="401" t="s">
        <v>1875</v>
      </c>
      <c r="G301" s="400" t="str">
        <f t="shared" si="5"/>
        <v>Inv. (senza Figli)</v>
      </c>
    </row>
    <row r="302" spans="1:7" ht="13" x14ac:dyDescent="0.3">
      <c r="A302" s="410" t="s">
        <v>121</v>
      </c>
      <c r="B302" s="401" t="s">
        <v>1814</v>
      </c>
      <c r="C302" s="401" t="s">
        <v>1827</v>
      </c>
      <c r="D302" s="401" t="s">
        <v>1844</v>
      </c>
      <c r="E302" s="401" t="s">
        <v>1860</v>
      </c>
      <c r="F302" s="401" t="s">
        <v>1876</v>
      </c>
      <c r="G302" s="400" t="str">
        <f t="shared" si="5"/>
        <v>Vedovanza caso malattia</v>
      </c>
    </row>
    <row r="303" spans="1:7" ht="13" x14ac:dyDescent="0.3">
      <c r="A303" s="410" t="s">
        <v>119</v>
      </c>
      <c r="B303" s="401" t="s">
        <v>440</v>
      </c>
      <c r="C303" s="401" t="s">
        <v>1824</v>
      </c>
      <c r="D303" s="401" t="s">
        <v>1841</v>
      </c>
      <c r="E303" s="401" t="s">
        <v>1857</v>
      </c>
      <c r="F303" s="401" t="s">
        <v>1873</v>
      </c>
      <c r="G303" s="400" t="str">
        <f t="shared" si="5"/>
        <v>Fabbisogno</v>
      </c>
    </row>
    <row r="304" spans="1:7" ht="13" x14ac:dyDescent="0.3">
      <c r="A304" s="410" t="s">
        <v>122</v>
      </c>
      <c r="B304" s="401" t="s">
        <v>1815</v>
      </c>
      <c r="C304" s="401" t="s">
        <v>1828</v>
      </c>
      <c r="D304" s="401" t="s">
        <v>1845</v>
      </c>
      <c r="E304" s="401" t="s">
        <v>1861</v>
      </c>
      <c r="F304" s="401" t="s">
        <v>1877</v>
      </c>
      <c r="G304" s="400" t="str">
        <f t="shared" si="5"/>
        <v>Vedovanza (con Figli):</v>
      </c>
    </row>
    <row r="305" spans="1:7" ht="13" x14ac:dyDescent="0.3">
      <c r="A305" s="410" t="s">
        <v>123</v>
      </c>
      <c r="B305" s="401" t="s">
        <v>1816</v>
      </c>
      <c r="C305" s="401" t="s">
        <v>1829</v>
      </c>
      <c r="D305" s="401" t="s">
        <v>1846</v>
      </c>
      <c r="E305" s="401" t="s">
        <v>1862</v>
      </c>
      <c r="F305" s="401" t="s">
        <v>1878</v>
      </c>
      <c r="G305" s="400" t="str">
        <f t="shared" si="5"/>
        <v>Vedovanza (senza Figli):</v>
      </c>
    </row>
    <row r="306" spans="1:7" ht="13" x14ac:dyDescent="0.3">
      <c r="A306" s="410" t="s">
        <v>124</v>
      </c>
      <c r="B306" s="401" t="s">
        <v>1817</v>
      </c>
      <c r="C306" s="401" t="s">
        <v>1830</v>
      </c>
      <c r="D306" s="401" t="s">
        <v>1847</v>
      </c>
      <c r="E306" s="401" t="s">
        <v>1863</v>
      </c>
      <c r="F306" s="401" t="s">
        <v>1879</v>
      </c>
      <c r="G306" s="400" t="str">
        <f t="shared" si="5"/>
        <v>Reddito in caso di Infortunio</v>
      </c>
    </row>
    <row r="307" spans="1:7" ht="13" x14ac:dyDescent="0.3">
      <c r="A307" s="410" t="s">
        <v>119</v>
      </c>
      <c r="B307" s="401" t="s">
        <v>440</v>
      </c>
      <c r="C307" s="401" t="s">
        <v>1824</v>
      </c>
      <c r="D307" s="401" t="s">
        <v>1841</v>
      </c>
      <c r="E307" s="401" t="s">
        <v>1857</v>
      </c>
      <c r="F307" s="401" t="s">
        <v>1873</v>
      </c>
      <c r="G307" s="400" t="str">
        <f t="shared" si="5"/>
        <v>Fabbisogno</v>
      </c>
    </row>
    <row r="308" spans="1:7" ht="13" x14ac:dyDescent="0.3">
      <c r="A308" s="410" t="s">
        <v>125</v>
      </c>
      <c r="B308" s="471" t="s">
        <v>2797</v>
      </c>
      <c r="C308" s="401" t="s">
        <v>2793</v>
      </c>
      <c r="D308" s="401" t="s">
        <v>2794</v>
      </c>
      <c r="E308" s="401" t="s">
        <v>2795</v>
      </c>
      <c r="F308" s="401" t="s">
        <v>2796</v>
      </c>
      <c r="G308" s="400" t="str">
        <f t="shared" si="5"/>
        <v>i.g. Inortunio</v>
      </c>
    </row>
    <row r="309" spans="1:7" ht="13" x14ac:dyDescent="0.3">
      <c r="A309" s="410" t="s">
        <v>126</v>
      </c>
      <c r="B309" s="401" t="s">
        <v>2798</v>
      </c>
      <c r="C309" s="401" t="s">
        <v>1831</v>
      </c>
      <c r="D309" s="401" t="s">
        <v>1848</v>
      </c>
      <c r="E309" s="401" t="s">
        <v>1864</v>
      </c>
      <c r="F309" s="401" t="s">
        <v>1831</v>
      </c>
      <c r="G309" s="400" t="str">
        <f t="shared" si="5"/>
        <v>Inv. Infortunio</v>
      </c>
    </row>
    <row r="310" spans="1:7" ht="13" x14ac:dyDescent="0.3">
      <c r="A310" s="410" t="s">
        <v>127</v>
      </c>
      <c r="B310" s="401" t="s">
        <v>1818</v>
      </c>
      <c r="C310" s="401" t="s">
        <v>1832</v>
      </c>
      <c r="D310" s="401" t="s">
        <v>1849</v>
      </c>
      <c r="E310" s="401" t="s">
        <v>1865</v>
      </c>
      <c r="F310" s="401" t="s">
        <v>1880</v>
      </c>
      <c r="G310" s="400" t="str">
        <f t="shared" si="5"/>
        <v>Vedovanza in caso di Infortunio</v>
      </c>
    </row>
    <row r="311" spans="1:7" ht="13" x14ac:dyDescent="0.3">
      <c r="A311" s="410" t="s">
        <v>119</v>
      </c>
      <c r="B311" s="401" t="s">
        <v>440</v>
      </c>
      <c r="C311" s="401" t="s">
        <v>1824</v>
      </c>
      <c r="D311" s="401" t="s">
        <v>1841</v>
      </c>
      <c r="E311" s="401" t="s">
        <v>1857</v>
      </c>
      <c r="F311" s="401" t="s">
        <v>1873</v>
      </c>
      <c r="G311" s="400" t="str">
        <f t="shared" si="5"/>
        <v>Fabbisogno</v>
      </c>
    </row>
    <row r="312" spans="1:7" ht="13" x14ac:dyDescent="0.3">
      <c r="A312" s="410" t="s">
        <v>128</v>
      </c>
      <c r="B312" s="401" t="s">
        <v>1819</v>
      </c>
      <c r="C312" s="401" t="s">
        <v>1833</v>
      </c>
      <c r="D312" s="401" t="s">
        <v>1850</v>
      </c>
      <c r="E312" s="401" t="s">
        <v>1866</v>
      </c>
      <c r="F312" s="401" t="s">
        <v>1881</v>
      </c>
      <c r="G312" s="400" t="str">
        <f t="shared" si="5"/>
        <v>Vedovanza (con Figli)</v>
      </c>
    </row>
    <row r="313" spans="1:7" ht="13" x14ac:dyDescent="0.3">
      <c r="A313" s="410" t="s">
        <v>129</v>
      </c>
      <c r="B313" s="401" t="s">
        <v>1820</v>
      </c>
      <c r="C313" s="401" t="s">
        <v>1834</v>
      </c>
      <c r="D313" s="401" t="s">
        <v>1851</v>
      </c>
      <c r="E313" s="401" t="s">
        <v>1867</v>
      </c>
      <c r="F313" s="401" t="s">
        <v>1882</v>
      </c>
      <c r="G313" s="400" t="str">
        <f t="shared" si="5"/>
        <v>Vedovanza (senza Figli)</v>
      </c>
    </row>
    <row r="314" spans="1:7" ht="13" x14ac:dyDescent="0.3">
      <c r="A314" s="410" t="s">
        <v>130</v>
      </c>
      <c r="B314" s="401" t="s">
        <v>1821</v>
      </c>
      <c r="C314" s="401" t="s">
        <v>1835</v>
      </c>
      <c r="D314" s="401" t="s">
        <v>1852</v>
      </c>
      <c r="E314" s="401" t="s">
        <v>1868</v>
      </c>
      <c r="F314" s="401" t="s">
        <v>1883</v>
      </c>
      <c r="G314" s="400" t="str">
        <f t="shared" si="5"/>
        <v>Pensione (senza Splitting:)</v>
      </c>
    </row>
    <row r="315" spans="1:7" ht="13" x14ac:dyDescent="0.3">
      <c r="A315" s="410" t="s">
        <v>119</v>
      </c>
      <c r="B315" s="401" t="s">
        <v>440</v>
      </c>
      <c r="C315" s="401" t="s">
        <v>1824</v>
      </c>
      <c r="D315" s="401" t="s">
        <v>1841</v>
      </c>
      <c r="E315" s="401" t="s">
        <v>1857</v>
      </c>
      <c r="F315" s="401" t="s">
        <v>1873</v>
      </c>
      <c r="G315" s="400" t="str">
        <f t="shared" si="5"/>
        <v>Fabbisogno</v>
      </c>
    </row>
    <row r="316" spans="1:7" ht="13" x14ac:dyDescent="0.3">
      <c r="A316" s="410" t="s">
        <v>131</v>
      </c>
      <c r="B316" s="401" t="s">
        <v>448</v>
      </c>
      <c r="C316" s="401" t="s">
        <v>1836</v>
      </c>
      <c r="D316" s="401" t="s">
        <v>131</v>
      </c>
      <c r="E316" s="401" t="s">
        <v>448</v>
      </c>
      <c r="F316" s="401" t="s">
        <v>1884</v>
      </c>
      <c r="G316" s="400" t="str">
        <f t="shared" si="5"/>
        <v>AVS + LPP:</v>
      </c>
    </row>
    <row r="317" spans="1:7" ht="13" x14ac:dyDescent="0.3">
      <c r="A317" s="410" t="s">
        <v>132</v>
      </c>
      <c r="B317" s="401" t="s">
        <v>449</v>
      </c>
      <c r="C317" s="401" t="s">
        <v>1837</v>
      </c>
      <c r="D317" s="401" t="s">
        <v>1853</v>
      </c>
      <c r="E317" s="401" t="s">
        <v>1869</v>
      </c>
      <c r="F317" s="401" t="s">
        <v>1885</v>
      </c>
      <c r="G317" s="400" t="str">
        <f t="shared" si="5"/>
        <v>Con splitting:</v>
      </c>
    </row>
    <row r="318" spans="1:7" x14ac:dyDescent="0.25">
      <c r="A318" s="400" t="s">
        <v>1889</v>
      </c>
      <c r="B318" s="401" t="s">
        <v>1888</v>
      </c>
      <c r="C318" s="401" t="s">
        <v>1890</v>
      </c>
      <c r="D318" s="401" t="s">
        <v>1892</v>
      </c>
      <c r="E318" s="401" t="s">
        <v>1894</v>
      </c>
      <c r="F318" s="401" t="s">
        <v>1896</v>
      </c>
      <c r="G318" s="400" t="str">
        <f t="shared" si="5"/>
        <v>Redditi / Rendite 1. e 2. pilastro</v>
      </c>
    </row>
    <row r="319" spans="1:7" x14ac:dyDescent="0.25">
      <c r="A319" s="400" t="s">
        <v>118</v>
      </c>
      <c r="B319" s="401" t="s">
        <v>452</v>
      </c>
      <c r="C319" s="401" t="s">
        <v>1838</v>
      </c>
      <c r="D319" s="401" t="s">
        <v>1854</v>
      </c>
      <c r="E319" s="401" t="s">
        <v>1870</v>
      </c>
      <c r="F319" s="401" t="s">
        <v>1886</v>
      </c>
      <c r="G319" s="400" t="str">
        <f t="shared" si="5"/>
        <v>Lacune</v>
      </c>
    </row>
    <row r="320" spans="1:7" x14ac:dyDescent="0.25">
      <c r="A320" s="400" t="s">
        <v>1898</v>
      </c>
      <c r="B320" s="401" t="s">
        <v>1887</v>
      </c>
      <c r="C320" s="401" t="s">
        <v>1891</v>
      </c>
      <c r="D320" s="401" t="s">
        <v>1893</v>
      </c>
      <c r="E320" s="401" t="s">
        <v>1895</v>
      </c>
      <c r="F320" s="401" t="s">
        <v>1897</v>
      </c>
      <c r="G320" s="400" t="str">
        <f t="shared" si="5"/>
        <v>3. pilastro</v>
      </c>
    </row>
    <row r="321" spans="1:7" x14ac:dyDescent="0.25">
      <c r="A321" s="400"/>
      <c r="B321" s="400"/>
      <c r="C321" s="400"/>
      <c r="D321" s="400"/>
      <c r="E321" s="400"/>
      <c r="F321" s="400"/>
      <c r="G321" s="400"/>
    </row>
    <row r="322" spans="1:7" x14ac:dyDescent="0.25">
      <c r="A322" s="400"/>
      <c r="B322" s="400"/>
      <c r="C322" s="400"/>
      <c r="D322" s="400"/>
      <c r="E322" s="400"/>
      <c r="F322" s="400"/>
      <c r="G322" s="400"/>
    </row>
    <row r="323" spans="1:7" x14ac:dyDescent="0.25">
      <c r="A323" s="419" t="s">
        <v>91</v>
      </c>
      <c r="B323" s="401" t="s">
        <v>1911</v>
      </c>
      <c r="C323" s="401" t="s">
        <v>1924</v>
      </c>
      <c r="D323" s="401" t="s">
        <v>1942</v>
      </c>
      <c r="E323" s="401" t="s">
        <v>1960</v>
      </c>
      <c r="F323" s="401" t="s">
        <v>1978</v>
      </c>
      <c r="G323" s="400" t="str">
        <f t="shared" ref="G323:G342" si="7">IF($C$1="IT",A323,IF($C$1="DE",B323,IF($C$1="FR",C323,IF($C$1="PT",D323,IF($C$1="RU",E323,IF($C$1="EN",F323,A323))))))</f>
        <v>PROPOSTA PREVIDENZIALE PER:</v>
      </c>
    </row>
    <row r="324" spans="1:7" ht="13" customHeight="1" x14ac:dyDescent="0.25">
      <c r="A324" s="420" t="s">
        <v>2678</v>
      </c>
      <c r="B324" s="401" t="s">
        <v>2755</v>
      </c>
      <c r="C324" s="401" t="s">
        <v>1925</v>
      </c>
      <c r="D324" s="401" t="s">
        <v>1943</v>
      </c>
      <c r="E324" s="401" t="s">
        <v>1961</v>
      </c>
      <c r="F324" s="401" t="s">
        <v>1979</v>
      </c>
      <c r="G324" s="400" t="str">
        <f t="shared" si="7"/>
        <v>Composizione di un piano previdenziale ideale, con vantaggi fiscali (terzo pilastro):</v>
      </c>
    </row>
    <row r="325" spans="1:7" x14ac:dyDescent="0.25">
      <c r="A325" s="400" t="s">
        <v>92</v>
      </c>
      <c r="B325" s="401" t="s">
        <v>2756</v>
      </c>
      <c r="C325" s="401" t="s">
        <v>1926</v>
      </c>
      <c r="D325" s="401" t="s">
        <v>1944</v>
      </c>
      <c r="E325" s="401" t="s">
        <v>1962</v>
      </c>
      <c r="F325" s="401" t="s">
        <v>1980</v>
      </c>
      <c r="G325" s="400" t="str">
        <f t="shared" si="7"/>
        <v>CAPITALI ASSICURATI</v>
      </c>
    </row>
    <row r="326" spans="1:7" x14ac:dyDescent="0.25">
      <c r="A326" s="400" t="s">
        <v>95</v>
      </c>
      <c r="B326" s="401" t="s">
        <v>2757</v>
      </c>
      <c r="C326" s="401" t="s">
        <v>1927</v>
      </c>
      <c r="D326" s="401" t="s">
        <v>1945</v>
      </c>
      <c r="E326" s="401" t="s">
        <v>1963</v>
      </c>
      <c r="F326" s="401" t="s">
        <v>1981</v>
      </c>
      <c r="G326" s="400" t="str">
        <f t="shared" si="7"/>
        <v>CAPITALI INVESTITI</v>
      </c>
    </row>
    <row r="327" spans="1:7" x14ac:dyDescent="0.25">
      <c r="A327" s="420" t="s">
        <v>93</v>
      </c>
      <c r="B327" s="401" t="s">
        <v>1912</v>
      </c>
      <c r="C327" s="401" t="s">
        <v>1928</v>
      </c>
      <c r="D327" s="401" t="s">
        <v>1946</v>
      </c>
      <c r="E327" s="401" t="s">
        <v>1964</v>
      </c>
      <c r="F327" s="401" t="s">
        <v>1982</v>
      </c>
      <c r="G327" s="400" t="str">
        <f t="shared" si="7"/>
        <v>Capitale alla pensione:</v>
      </c>
    </row>
    <row r="328" spans="1:7" x14ac:dyDescent="0.25">
      <c r="A328" s="420" t="s">
        <v>61</v>
      </c>
      <c r="B328" s="401" t="s">
        <v>1913</v>
      </c>
      <c r="C328" s="401" t="s">
        <v>1929</v>
      </c>
      <c r="D328" s="401" t="s">
        <v>1947</v>
      </c>
      <c r="E328" s="401" t="s">
        <v>1965</v>
      </c>
      <c r="F328" s="401" t="s">
        <v>1983</v>
      </c>
      <c r="G328" s="400" t="str">
        <f t="shared" si="7"/>
        <v>Capitale assicurato in caso di decesso:</v>
      </c>
    </row>
    <row r="329" spans="1:7" ht="26" customHeight="1" x14ac:dyDescent="0.25">
      <c r="A329" s="420" t="s">
        <v>1907</v>
      </c>
      <c r="B329" s="401" t="s">
        <v>1914</v>
      </c>
      <c r="C329" s="401" t="s">
        <v>1930</v>
      </c>
      <c r="D329" s="401" t="s">
        <v>1948</v>
      </c>
      <c r="E329" s="401" t="s">
        <v>1966</v>
      </c>
      <c r="F329" s="401" t="s">
        <v>1984</v>
      </c>
      <c r="G329" s="400" t="str">
        <f t="shared" si="7"/>
        <v>Garanzia del pagamento dei premi in caso di incapacità lavorativa:</v>
      </c>
    </row>
    <row r="330" spans="1:7" ht="26" customHeight="1" x14ac:dyDescent="0.25">
      <c r="A330" s="420" t="s">
        <v>1908</v>
      </c>
      <c r="B330" s="401" t="s">
        <v>1915</v>
      </c>
      <c r="C330" s="401" t="s">
        <v>1931</v>
      </c>
      <c r="D330" s="401" t="s">
        <v>1949</v>
      </c>
      <c r="E330" s="401" t="s">
        <v>1967</v>
      </c>
      <c r="F330" s="401" t="s">
        <v>1985</v>
      </c>
      <c r="G330" s="400" t="str">
        <f t="shared" si="7"/>
        <v>Capitale assicurato in caso di incapacità lavorativa:</v>
      </c>
    </row>
    <row r="331" spans="1:7" x14ac:dyDescent="0.25">
      <c r="A331" s="420" t="s">
        <v>94</v>
      </c>
      <c r="B331" s="401" t="s">
        <v>2758</v>
      </c>
      <c r="C331" s="401" t="s">
        <v>1932</v>
      </c>
      <c r="D331" s="401" t="s">
        <v>1950</v>
      </c>
      <c r="E331" s="401" t="s">
        <v>1968</v>
      </c>
      <c r="F331" s="401" t="s">
        <v>1986</v>
      </c>
      <c r="G331" s="400" t="str">
        <f t="shared" si="7"/>
        <v>Totale coperture e capitali per il cliente:</v>
      </c>
    </row>
    <row r="332" spans="1:7" ht="20" customHeight="1" x14ac:dyDescent="0.25">
      <c r="A332" s="420" t="s">
        <v>96</v>
      </c>
      <c r="B332" s="401" t="s">
        <v>1916</v>
      </c>
      <c r="C332" s="401" t="s">
        <v>1933</v>
      </c>
      <c r="D332" s="401" t="s">
        <v>1951</v>
      </c>
      <c r="E332" s="401" t="s">
        <v>1969</v>
      </c>
      <c r="F332" s="401" t="s">
        <v>1987</v>
      </c>
      <c r="G332" s="400" t="str">
        <f t="shared" si="7"/>
        <v>Partecipazione fiscale annua (detrazione)</v>
      </c>
    </row>
    <row r="333" spans="1:7" x14ac:dyDescent="0.25">
      <c r="A333" s="420" t="s">
        <v>97</v>
      </c>
      <c r="B333" s="401" t="s">
        <v>2759</v>
      </c>
      <c r="C333" s="401" t="s">
        <v>1934</v>
      </c>
      <c r="D333" s="401" t="s">
        <v>1952</v>
      </c>
      <c r="E333" s="401" t="s">
        <v>1970</v>
      </c>
      <c r="F333" s="401" t="s">
        <v>1988</v>
      </c>
      <c r="G333" s="400" t="str">
        <f t="shared" si="7"/>
        <v>Totale capitali investiti</v>
      </c>
    </row>
    <row r="334" spans="1:7" x14ac:dyDescent="0.25">
      <c r="A334" s="420" t="s">
        <v>56</v>
      </c>
      <c r="B334" s="401" t="s">
        <v>1917</v>
      </c>
      <c r="C334" s="401" t="s">
        <v>1935</v>
      </c>
      <c r="D334" s="401" t="s">
        <v>1953</v>
      </c>
      <c r="E334" s="401" t="s">
        <v>1971</v>
      </c>
      <c r="F334" s="401" t="s">
        <v>1989</v>
      </c>
      <c r="G334" s="400" t="str">
        <f t="shared" si="7"/>
        <v>Premio annuo</v>
      </c>
    </row>
    <row r="335" spans="1:7" x14ac:dyDescent="0.25">
      <c r="A335" s="420" t="s">
        <v>57</v>
      </c>
      <c r="B335" s="401" t="s">
        <v>1918</v>
      </c>
      <c r="C335" s="401" t="s">
        <v>1936</v>
      </c>
      <c r="D335" s="401" t="s">
        <v>1954</v>
      </c>
      <c r="E335" s="401" t="s">
        <v>1972</v>
      </c>
      <c r="F335" s="401" t="s">
        <v>1990</v>
      </c>
      <c r="G335" s="400" t="str">
        <f t="shared" si="7"/>
        <v>Durata piano previdenziale</v>
      </c>
    </row>
    <row r="336" spans="1:7" x14ac:dyDescent="0.25">
      <c r="A336" s="420" t="s">
        <v>58</v>
      </c>
      <c r="B336" s="401" t="s">
        <v>1919</v>
      </c>
      <c r="C336" s="401" t="s">
        <v>1937</v>
      </c>
      <c r="D336" s="401" t="s">
        <v>1955</v>
      </c>
      <c r="E336" s="401" t="s">
        <v>1973</v>
      </c>
      <c r="F336" s="401" t="s">
        <v>1991</v>
      </c>
      <c r="G336" s="400" t="str">
        <f t="shared" si="7"/>
        <v>Autofinanziamento in caso di incapacità lav.</v>
      </c>
    </row>
    <row r="337" spans="1:7" ht="25" x14ac:dyDescent="0.25">
      <c r="A337" s="420" t="s">
        <v>59</v>
      </c>
      <c r="B337" s="401" t="s">
        <v>1920</v>
      </c>
      <c r="C337" s="401" t="s">
        <v>1938</v>
      </c>
      <c r="D337" s="401" t="s">
        <v>1956</v>
      </c>
      <c r="E337" s="401" t="s">
        <v>1974</v>
      </c>
      <c r="F337" s="401" t="s">
        <v>1992</v>
      </c>
      <c r="G337" s="400" t="str">
        <f t="shared" si="7"/>
        <v>Rendita annua in caso di incapacità lavorativa:</v>
      </c>
    </row>
    <row r="338" spans="1:7" x14ac:dyDescent="0.25">
      <c r="A338" s="420" t="s">
        <v>60</v>
      </c>
      <c r="B338" s="401" t="s">
        <v>1921</v>
      </c>
      <c r="C338" s="401" t="s">
        <v>1939</v>
      </c>
      <c r="D338" s="401" t="s">
        <v>1957</v>
      </c>
      <c r="E338" s="401" t="s">
        <v>1975</v>
      </c>
      <c r="F338" s="401" t="s">
        <v>1993</v>
      </c>
      <c r="G338" s="400" t="str">
        <f t="shared" si="7"/>
        <v>Capitale 3a alla pensione:</v>
      </c>
    </row>
    <row r="339" spans="1:7" x14ac:dyDescent="0.25">
      <c r="A339" s="420" t="s">
        <v>61</v>
      </c>
      <c r="B339" s="401" t="s">
        <v>1913</v>
      </c>
      <c r="C339" s="401" t="s">
        <v>1929</v>
      </c>
      <c r="D339" s="401" t="s">
        <v>1947</v>
      </c>
      <c r="E339" s="401" t="s">
        <v>1965</v>
      </c>
      <c r="F339" s="401" t="s">
        <v>1983</v>
      </c>
      <c r="G339" s="400" t="str">
        <f t="shared" si="7"/>
        <v>Capitale assicurato in caso di decesso:</v>
      </c>
    </row>
    <row r="340" spans="1:7" x14ac:dyDescent="0.25">
      <c r="A340" s="420" t="s">
        <v>1909</v>
      </c>
      <c r="B340" s="401" t="s">
        <v>1922</v>
      </c>
      <c r="C340" s="401" t="s">
        <v>1940</v>
      </c>
      <c r="D340" s="401" t="s">
        <v>1958</v>
      </c>
      <c r="E340" s="401" t="s">
        <v>1976</v>
      </c>
      <c r="F340" s="401" t="s">
        <v>1994</v>
      </c>
      <c r="G340" s="400" t="str">
        <f t="shared" si="7"/>
        <v>Imposte annue senza deduzione 3. pilastro</v>
      </c>
    </row>
    <row r="341" spans="1:7" x14ac:dyDescent="0.25">
      <c r="A341" s="420" t="s">
        <v>1910</v>
      </c>
      <c r="B341" s="401" t="s">
        <v>1923</v>
      </c>
      <c r="C341" s="401" t="s">
        <v>1941</v>
      </c>
      <c r="D341" s="401" t="s">
        <v>1959</v>
      </c>
      <c r="E341" s="401" t="s">
        <v>1977</v>
      </c>
      <c r="F341" s="401" t="s">
        <v>1995</v>
      </c>
      <c r="G341" s="400" t="str">
        <f t="shared" si="7"/>
        <v>Imposte annue con deduzione 3. pilastro</v>
      </c>
    </row>
    <row r="342" spans="1:7" ht="13" x14ac:dyDescent="0.3">
      <c r="A342" s="411" t="s">
        <v>4</v>
      </c>
      <c r="B342" s="401" t="s">
        <v>1996</v>
      </c>
      <c r="C342" s="401" t="s">
        <v>1997</v>
      </c>
      <c r="D342" s="401" t="s">
        <v>1998</v>
      </c>
      <c r="E342" s="401" t="s">
        <v>1999</v>
      </c>
      <c r="F342" s="401" t="s">
        <v>2000</v>
      </c>
      <c r="G342" s="400" t="str">
        <f t="shared" si="7"/>
        <v>Capitali investiti con detrazioni fiscali</v>
      </c>
    </row>
    <row r="343" spans="1:7" x14ac:dyDescent="0.25">
      <c r="A343" s="400"/>
      <c r="B343" s="400"/>
      <c r="C343" s="400"/>
      <c r="D343" s="400"/>
      <c r="E343" s="400"/>
      <c r="F343" s="401"/>
      <c r="G343" s="400"/>
    </row>
    <row r="344" spans="1:7" x14ac:dyDescent="0.25">
      <c r="A344" s="400" t="s">
        <v>2001</v>
      </c>
      <c r="B344" s="400"/>
      <c r="C344" s="400"/>
      <c r="D344" s="400"/>
      <c r="E344" s="400"/>
      <c r="F344" s="400"/>
      <c r="G344" s="400"/>
    </row>
    <row r="345" spans="1:7" x14ac:dyDescent="0.25">
      <c r="A345" s="400" t="s">
        <v>152</v>
      </c>
      <c r="B345" s="401" t="s">
        <v>2760</v>
      </c>
      <c r="C345" s="401" t="s">
        <v>2018</v>
      </c>
      <c r="D345" s="401" t="s">
        <v>2036</v>
      </c>
      <c r="E345" s="401" t="s">
        <v>2054</v>
      </c>
      <c r="F345" s="401" t="s">
        <v>2072</v>
      </c>
      <c r="G345" s="400" t="str">
        <f t="shared" ref="G345:G408" si="8">IF($C$1="IT",A345,IF($C$1="DE",B345,IF($C$1="FR",C345,IF($C$1="PT",D345,IF($C$1="RU",E345,IF($C$1="EN",F345,A345))))))</f>
        <v>Finanziabilità abitazione di proprietà PER:</v>
      </c>
    </row>
    <row r="346" spans="1:7" ht="13" x14ac:dyDescent="0.3">
      <c r="A346" s="421" t="s">
        <v>153</v>
      </c>
      <c r="B346" s="401" t="s">
        <v>2002</v>
      </c>
      <c r="C346" s="401" t="s">
        <v>2019</v>
      </c>
      <c r="D346" s="401" t="s">
        <v>2037</v>
      </c>
      <c r="E346" s="401" t="s">
        <v>2055</v>
      </c>
      <c r="F346" s="401" t="s">
        <v>2073</v>
      </c>
      <c r="G346" s="400" t="str">
        <f t="shared" si="8"/>
        <v>Reddito lordo annuo totale:</v>
      </c>
    </row>
    <row r="347" spans="1:7" ht="13" x14ac:dyDescent="0.3">
      <c r="A347" s="421" t="s">
        <v>154</v>
      </c>
      <c r="B347" s="401" t="s">
        <v>2003</v>
      </c>
      <c r="C347" s="401" t="s">
        <v>2020</v>
      </c>
      <c r="D347" s="401" t="s">
        <v>2038</v>
      </c>
      <c r="E347" s="401" t="s">
        <v>2056</v>
      </c>
      <c r="F347" s="401" t="s">
        <v>2074</v>
      </c>
      <c r="G347" s="400" t="str">
        <f t="shared" si="8"/>
        <v>Costi totali annui per per leasing e crediti</v>
      </c>
    </row>
    <row r="348" spans="1:7" ht="25.5" x14ac:dyDescent="0.3">
      <c r="A348" s="421" t="s">
        <v>155</v>
      </c>
      <c r="B348" s="401" t="s">
        <v>2004</v>
      </c>
      <c r="C348" s="401" t="s">
        <v>2021</v>
      </c>
      <c r="D348" s="401" t="s">
        <v>2039</v>
      </c>
      <c r="E348" s="401" t="s">
        <v>2057</v>
      </c>
      <c r="F348" s="401" t="s">
        <v>2075</v>
      </c>
      <c r="G348" s="400" t="str">
        <f t="shared" si="8"/>
        <v>Incassi totali annui per affitti (per case plurifamigliari)</v>
      </c>
    </row>
    <row r="349" spans="1:7" ht="13" x14ac:dyDescent="0.3">
      <c r="A349" s="421" t="s">
        <v>195</v>
      </c>
      <c r="B349" s="401" t="s">
        <v>2005</v>
      </c>
      <c r="C349" s="401" t="s">
        <v>2022</v>
      </c>
      <c r="D349" s="401" t="s">
        <v>2040</v>
      </c>
      <c r="E349" s="401" t="s">
        <v>2058</v>
      </c>
      <c r="F349" s="401" t="s">
        <v>2076</v>
      </c>
      <c r="G349" s="400" t="str">
        <f t="shared" si="8"/>
        <v>Capitale disponibile attualmente su LPP:</v>
      </c>
    </row>
    <row r="350" spans="1:7" ht="13" x14ac:dyDescent="0.3">
      <c r="A350" s="421" t="s">
        <v>157</v>
      </c>
      <c r="B350" s="401" t="s">
        <v>2006</v>
      </c>
      <c r="C350" s="401" t="s">
        <v>2023</v>
      </c>
      <c r="D350" s="401" t="s">
        <v>2041</v>
      </c>
      <c r="E350" s="401" t="s">
        <v>2059</v>
      </c>
      <c r="F350" s="401" t="s">
        <v>2077</v>
      </c>
      <c r="G350" s="400" t="str">
        <f t="shared" si="8"/>
        <v>Contributi totali  annui LPP:</v>
      </c>
    </row>
    <row r="351" spans="1:7" ht="13" x14ac:dyDescent="0.3">
      <c r="A351" s="421" t="s">
        <v>159</v>
      </c>
      <c r="B351" s="401" t="s">
        <v>2007</v>
      </c>
      <c r="C351" s="401" t="s">
        <v>2024</v>
      </c>
      <c r="D351" s="401" t="s">
        <v>2042</v>
      </c>
      <c r="E351" s="401" t="s">
        <v>2060</v>
      </c>
      <c r="F351" s="401" t="s">
        <v>2078</v>
      </c>
      <c r="G351" s="400" t="str">
        <f t="shared" si="8"/>
        <v>SITUAZIONE ATTUALE PER IL FINANZIAMENTO:</v>
      </c>
    </row>
    <row r="352" spans="1:7" ht="25.5" x14ac:dyDescent="0.3">
      <c r="A352" s="421" t="s">
        <v>160</v>
      </c>
      <c r="B352" s="401" t="s">
        <v>2008</v>
      </c>
      <c r="C352" s="401" t="s">
        <v>2025</v>
      </c>
      <c r="D352" s="401" t="s">
        <v>2043</v>
      </c>
      <c r="E352" s="401" t="s">
        <v>2061</v>
      </c>
      <c r="F352" s="401" t="s">
        <v>2079</v>
      </c>
      <c r="G352" s="400" t="str">
        <f t="shared" si="8"/>
        <v>Finanziamento massimo, dato il capitale proprio cash + 3 pil.</v>
      </c>
    </row>
    <row r="353" spans="1:7" ht="25.5" x14ac:dyDescent="0.3">
      <c r="A353" s="421" t="s">
        <v>161</v>
      </c>
      <c r="B353" s="401" t="s">
        <v>2009</v>
      </c>
      <c r="C353" s="401" t="s">
        <v>2026</v>
      </c>
      <c r="D353" s="401" t="s">
        <v>2044</v>
      </c>
      <c r="E353" s="401" t="s">
        <v>2062</v>
      </c>
      <c r="F353" s="401" t="s">
        <v>2080</v>
      </c>
      <c r="G353" s="400" t="str">
        <f t="shared" si="8"/>
        <v>Finanziamento massimo dato il capitale proprio totale:</v>
      </c>
    </row>
    <row r="354" spans="1:7" ht="25.5" x14ac:dyDescent="0.3">
      <c r="A354" s="421" t="s">
        <v>162</v>
      </c>
      <c r="B354" s="401" t="s">
        <v>2010</v>
      </c>
      <c r="C354" s="401" t="s">
        <v>2027</v>
      </c>
      <c r="D354" s="401" t="s">
        <v>2045</v>
      </c>
      <c r="E354" s="401" t="s">
        <v>2063</v>
      </c>
      <c r="F354" s="401" t="s">
        <v>2081</v>
      </c>
      <c r="G354" s="400" t="str">
        <f t="shared" si="8"/>
        <v xml:space="preserve">Finanziamento massimo dato dalla sostenibilità del reddito: </v>
      </c>
    </row>
    <row r="355" spans="1:7" ht="12.5" customHeight="1" x14ac:dyDescent="0.25">
      <c r="A355" s="400" t="s">
        <v>163</v>
      </c>
      <c r="B355" s="401" t="s">
        <v>2761</v>
      </c>
      <c r="C355" s="401" t="s">
        <v>2028</v>
      </c>
      <c r="D355" s="401" t="s">
        <v>2046</v>
      </c>
      <c r="E355" s="401" t="s">
        <v>2064</v>
      </c>
      <c r="F355" s="401" t="s">
        <v>2082</v>
      </c>
      <c r="G355" s="400" t="str">
        <f t="shared" si="8"/>
        <v>FINANZIABILITÀ NEL TEMPO CON RISPARMIO MENSILE:</v>
      </c>
    </row>
    <row r="356" spans="1:7" ht="13" x14ac:dyDescent="0.3">
      <c r="A356" s="410" t="s">
        <v>168</v>
      </c>
      <c r="B356" s="401" t="s">
        <v>2011</v>
      </c>
      <c r="C356" s="401" t="s">
        <v>168</v>
      </c>
      <c r="D356" s="401" t="s">
        <v>168</v>
      </c>
      <c r="E356" s="401" t="s">
        <v>168</v>
      </c>
      <c r="F356" s="401" t="s">
        <v>168</v>
      </c>
      <c r="G356" s="400" t="str">
        <f t="shared" si="8"/>
        <v>LPP</v>
      </c>
    </row>
    <row r="357" spans="1:7" ht="13" x14ac:dyDescent="0.3">
      <c r="A357" s="410" t="s">
        <v>169</v>
      </c>
      <c r="B357" s="401" t="s">
        <v>2012</v>
      </c>
      <c r="C357" s="401" t="s">
        <v>2029</v>
      </c>
      <c r="D357" s="401" t="s">
        <v>2047</v>
      </c>
      <c r="E357" s="401" t="s">
        <v>2065</v>
      </c>
      <c r="F357" s="401" t="s">
        <v>2083</v>
      </c>
      <c r="G357" s="400" t="str">
        <f t="shared" si="8"/>
        <v>Finanziamento</v>
      </c>
    </row>
    <row r="358" spans="1:7" ht="13" x14ac:dyDescent="0.3">
      <c r="A358" s="421" t="s">
        <v>170</v>
      </c>
      <c r="B358" s="401" t="s">
        <v>2762</v>
      </c>
      <c r="C358" s="401" t="s">
        <v>2030</v>
      </c>
      <c r="D358" s="401" t="s">
        <v>2048</v>
      </c>
      <c r="E358" s="401" t="s">
        <v>2066</v>
      </c>
      <c r="F358" s="401" t="s">
        <v>2084</v>
      </c>
      <c r="G358" s="400" t="str">
        <f t="shared" si="8"/>
        <v>LIMITE DI ACQUISTO</v>
      </c>
    </row>
    <row r="359" spans="1:7" ht="13" x14ac:dyDescent="0.3">
      <c r="A359" s="421" t="s">
        <v>183</v>
      </c>
      <c r="B359" s="401" t="s">
        <v>2013</v>
      </c>
      <c r="C359" s="401" t="s">
        <v>2031</v>
      </c>
      <c r="D359" s="401" t="s">
        <v>2049</v>
      </c>
      <c r="E359" s="401" t="s">
        <v>2067</v>
      </c>
      <c r="F359" s="401" t="s">
        <v>2085</v>
      </c>
      <c r="G359" s="400" t="str">
        <f t="shared" si="8"/>
        <v>Capitale disonibile per acquisto</v>
      </c>
    </row>
    <row r="360" spans="1:7" ht="13" x14ac:dyDescent="0.3">
      <c r="A360" s="421" t="s">
        <v>184</v>
      </c>
      <c r="B360" s="401" t="s">
        <v>2014</v>
      </c>
      <c r="C360" s="401" t="s">
        <v>2032</v>
      </c>
      <c r="D360" s="401" t="s">
        <v>2050</v>
      </c>
      <c r="E360" s="401" t="s">
        <v>2068</v>
      </c>
      <c r="F360" s="401" t="s">
        <v>2086</v>
      </c>
      <c r="G360" s="400" t="str">
        <f t="shared" si="8"/>
        <v>Altre forme di capitale (affitto con riscatto, fidejussioni, ecc..)</v>
      </c>
    </row>
    <row r="361" spans="1:7" ht="13" x14ac:dyDescent="0.3">
      <c r="A361" s="421" t="s">
        <v>177</v>
      </c>
      <c r="B361" s="401" t="s">
        <v>2015</v>
      </c>
      <c r="C361" s="401" t="s">
        <v>2033</v>
      </c>
      <c r="D361" s="401" t="s">
        <v>2051</v>
      </c>
      <c r="E361" s="401" t="s">
        <v>2069</v>
      </c>
      <c r="F361" s="401" t="s">
        <v>2087</v>
      </c>
      <c r="G361" s="400" t="str">
        <f t="shared" si="8"/>
        <v>Credito per finanziamento olte l'80%</v>
      </c>
    </row>
    <row r="362" spans="1:7" ht="13" x14ac:dyDescent="0.3">
      <c r="A362" s="421" t="s">
        <v>156</v>
      </c>
      <c r="B362" s="401" t="s">
        <v>2016</v>
      </c>
      <c r="C362" s="401" t="s">
        <v>2034</v>
      </c>
      <c r="D362" s="401" t="s">
        <v>2052</v>
      </c>
      <c r="E362" s="401" t="s">
        <v>2070</v>
      </c>
      <c r="F362" s="401" t="s">
        <v>2088</v>
      </c>
      <c r="G362" s="400" t="str">
        <f t="shared" si="8"/>
        <v>Risparmio annuo attuale:</v>
      </c>
    </row>
    <row r="363" spans="1:7" ht="13" x14ac:dyDescent="0.3">
      <c r="A363" s="421" t="s">
        <v>158</v>
      </c>
      <c r="B363" s="401" t="s">
        <v>2017</v>
      </c>
      <c r="C363" s="401" t="s">
        <v>2035</v>
      </c>
      <c r="D363" s="401" t="s">
        <v>2053</v>
      </c>
      <c r="E363" s="401" t="s">
        <v>2071</v>
      </c>
      <c r="F363" s="401" t="s">
        <v>2089</v>
      </c>
      <c r="G363" s="400" t="str">
        <f t="shared" si="8"/>
        <v>Risparmio annuo proposto:</v>
      </c>
    </row>
    <row r="364" spans="1:7" x14ac:dyDescent="0.25">
      <c r="A364" s="400" t="s">
        <v>193</v>
      </c>
      <c r="B364" s="401" t="s">
        <v>2763</v>
      </c>
      <c r="C364" s="401" t="s">
        <v>2090</v>
      </c>
      <c r="D364" s="401" t="s">
        <v>2091</v>
      </c>
      <c r="E364" s="401" t="s">
        <v>2092</v>
      </c>
      <c r="F364" s="401" t="s">
        <v>2093</v>
      </c>
      <c r="G364" s="400" t="str">
        <f t="shared" si="8"/>
        <v>Finanziabilità per AFFITTO CON RISCATTO:</v>
      </c>
    </row>
    <row r="365" spans="1:7" ht="25" x14ac:dyDescent="0.25">
      <c r="A365" s="423" t="s">
        <v>229</v>
      </c>
      <c r="B365" s="401" t="s">
        <v>2101</v>
      </c>
      <c r="C365" s="401" t="s">
        <v>2143</v>
      </c>
      <c r="D365" s="401" t="s">
        <v>2188</v>
      </c>
      <c r="E365" s="401" t="s">
        <v>2232</v>
      </c>
      <c r="F365" s="401" t="s">
        <v>2277</v>
      </c>
      <c r="G365" s="400" t="str">
        <f t="shared" si="8"/>
        <v>CALCOLO PER IL FINANZIAMENTO DI UN ABITAZIONE DI PROPRIETÀ</v>
      </c>
    </row>
    <row r="366" spans="1:7" ht="12.5" customHeight="1" x14ac:dyDescent="0.25">
      <c r="A366" s="400" t="s">
        <v>261</v>
      </c>
      <c r="B366" s="401" t="s">
        <v>2102</v>
      </c>
      <c r="C366" s="401" t="s">
        <v>2144</v>
      </c>
      <c r="D366" s="401" t="s">
        <v>2189</v>
      </c>
      <c r="E366" s="401" t="s">
        <v>2233</v>
      </c>
      <c r="F366" s="401" t="s">
        <v>2278</v>
      </c>
      <c r="G366" s="400" t="str">
        <f t="shared" si="8"/>
        <v>Dati forniti dal cliente - parametri del mercato finanziario</v>
      </c>
    </row>
    <row r="367" spans="1:7" ht="13" x14ac:dyDescent="0.3">
      <c r="A367" s="421" t="s">
        <v>260</v>
      </c>
      <c r="B367" s="401" t="s">
        <v>2103</v>
      </c>
      <c r="C367" s="401" t="s">
        <v>2145</v>
      </c>
      <c r="D367" s="401" t="s">
        <v>2190</v>
      </c>
      <c r="E367" s="401" t="s">
        <v>2234</v>
      </c>
      <c r="F367" s="401" t="s">
        <v>2279</v>
      </c>
      <c r="G367" s="400" t="str">
        <f t="shared" si="8"/>
        <v xml:space="preserve">Calcolo per: </v>
      </c>
    </row>
    <row r="368" spans="1:7" ht="13" x14ac:dyDescent="0.3">
      <c r="A368" s="410" t="s">
        <v>1</v>
      </c>
      <c r="B368" s="401" t="s">
        <v>2104</v>
      </c>
      <c r="C368" s="401" t="s">
        <v>2146</v>
      </c>
      <c r="D368" s="401" t="s">
        <v>2191</v>
      </c>
      <c r="E368" s="401" t="s">
        <v>2235</v>
      </c>
      <c r="F368" s="401" t="s">
        <v>2280</v>
      </c>
      <c r="G368" s="400" t="str">
        <f t="shared" si="8"/>
        <v>Valutazione effettuata da:</v>
      </c>
    </row>
    <row r="369" spans="1:7" ht="13" x14ac:dyDescent="0.3">
      <c r="A369" s="410" t="s">
        <v>32</v>
      </c>
      <c r="B369" s="401" t="s">
        <v>456</v>
      </c>
      <c r="C369" s="401" t="s">
        <v>1793</v>
      </c>
      <c r="D369" s="401" t="s">
        <v>1797</v>
      </c>
      <c r="E369" s="401" t="s">
        <v>2236</v>
      </c>
      <c r="F369" s="401" t="s">
        <v>1805</v>
      </c>
      <c r="G369" s="400" t="str">
        <f t="shared" si="8"/>
        <v>Parametri di calcolo:</v>
      </c>
    </row>
    <row r="370" spans="1:7" ht="13" x14ac:dyDescent="0.3">
      <c r="A370" s="410" t="s">
        <v>2</v>
      </c>
      <c r="B370" s="401" t="s">
        <v>457</v>
      </c>
      <c r="C370" s="401" t="s">
        <v>2147</v>
      </c>
      <c r="D370" s="401" t="s">
        <v>1798</v>
      </c>
      <c r="E370" s="401" t="s">
        <v>2234</v>
      </c>
      <c r="F370" s="401" t="s">
        <v>1806</v>
      </c>
      <c r="G370" s="400" t="str">
        <f t="shared" si="8"/>
        <v>Calcolo del:</v>
      </c>
    </row>
    <row r="371" spans="1:7" x14ac:dyDescent="0.25">
      <c r="A371" s="423" t="s">
        <v>230</v>
      </c>
      <c r="B371" s="401" t="s">
        <v>2105</v>
      </c>
      <c r="C371" s="401" t="s">
        <v>2148</v>
      </c>
      <c r="D371" s="401" t="s">
        <v>2192</v>
      </c>
      <c r="E371" s="401" t="s">
        <v>2237</v>
      </c>
      <c r="F371" s="401" t="s">
        <v>2281</v>
      </c>
      <c r="G371" s="400" t="str">
        <f t="shared" si="8"/>
        <v>Oggetto:</v>
      </c>
    </row>
    <row r="372" spans="1:7" x14ac:dyDescent="0.25">
      <c r="A372" s="423" t="s">
        <v>231</v>
      </c>
      <c r="B372" s="401" t="s">
        <v>2106</v>
      </c>
      <c r="C372" s="401" t="s">
        <v>2149</v>
      </c>
      <c r="D372" s="401" t="s">
        <v>2193</v>
      </c>
      <c r="E372" s="401" t="s">
        <v>2238</v>
      </c>
      <c r="F372" s="401" t="s">
        <v>2282</v>
      </c>
      <c r="G372" s="400" t="str">
        <f t="shared" si="8"/>
        <v>DATI GENERALI</v>
      </c>
    </row>
    <row r="373" spans="1:7" x14ac:dyDescent="0.25">
      <c r="A373" s="432" t="s">
        <v>232</v>
      </c>
      <c r="B373" s="401" t="s">
        <v>2107</v>
      </c>
      <c r="C373" s="401" t="s">
        <v>2150</v>
      </c>
      <c r="D373" s="401" t="s">
        <v>2194</v>
      </c>
      <c r="E373" s="401" t="s">
        <v>2239</v>
      </c>
      <c r="F373" s="401" t="s">
        <v>2283</v>
      </c>
      <c r="G373" s="400" t="str">
        <f t="shared" si="8"/>
        <v>Valore di Acquisto:</v>
      </c>
    </row>
    <row r="374" spans="1:7" ht="12.5" customHeight="1" x14ac:dyDescent="0.25">
      <c r="A374" s="422" t="s">
        <v>233</v>
      </c>
      <c r="B374" s="401" t="s">
        <v>2108</v>
      </c>
      <c r="C374" s="401" t="s">
        <v>2151</v>
      </c>
      <c r="D374" s="401" t="s">
        <v>2195</v>
      </c>
      <c r="E374" s="401" t="s">
        <v>2240</v>
      </c>
      <c r="F374" s="401" t="s">
        <v>2284</v>
      </c>
      <c r="G374" s="400" t="str">
        <f t="shared" si="8"/>
        <v>Acquisto o rifinanziamento? 0 = rifinanziamento, 1 = acquisto)</v>
      </c>
    </row>
    <row r="375" spans="1:7" x14ac:dyDescent="0.25">
      <c r="A375" s="423" t="s">
        <v>234</v>
      </c>
      <c r="B375" s="401" t="s">
        <v>2109</v>
      </c>
      <c r="C375" s="401" t="s">
        <v>2152</v>
      </c>
      <c r="D375" s="401" t="s">
        <v>2196</v>
      </c>
      <c r="E375" s="401" t="s">
        <v>2241</v>
      </c>
      <c r="F375" s="401" t="s">
        <v>2285</v>
      </c>
      <c r="G375" s="400" t="str">
        <f t="shared" si="8"/>
        <v>Costi di rogito tot.:</v>
      </c>
    </row>
    <row r="376" spans="1:7" x14ac:dyDescent="0.25">
      <c r="A376" s="423" t="s">
        <v>235</v>
      </c>
      <c r="B376" s="401" t="s">
        <v>2110</v>
      </c>
      <c r="C376" s="401" t="s">
        <v>2153</v>
      </c>
      <c r="D376" s="401" t="s">
        <v>2197</v>
      </c>
      <c r="E376" s="401" t="s">
        <v>2242</v>
      </c>
      <c r="F376" s="401" t="s">
        <v>2286</v>
      </c>
      <c r="G376" s="400" t="str">
        <f t="shared" si="8"/>
        <v>Costi di ristrutturazione:</v>
      </c>
    </row>
    <row r="377" spans="1:7" x14ac:dyDescent="0.25">
      <c r="A377" s="423" t="s">
        <v>236</v>
      </c>
      <c r="B377" s="401" t="s">
        <v>2111</v>
      </c>
      <c r="C377" s="401" t="s">
        <v>2154</v>
      </c>
      <c r="D377" s="401" t="s">
        <v>2198</v>
      </c>
      <c r="E377" s="401" t="s">
        <v>2243</v>
      </c>
      <c r="F377" s="401" t="s">
        <v>2287</v>
      </c>
      <c r="G377" s="400" t="str">
        <f t="shared" si="8"/>
        <v>Progetto per ristrutturazione:</v>
      </c>
    </row>
    <row r="378" spans="1:7" x14ac:dyDescent="0.25">
      <c r="A378" s="423" t="s">
        <v>237</v>
      </c>
      <c r="B378" s="401" t="s">
        <v>2112</v>
      </c>
      <c r="C378" s="401" t="s">
        <v>2155</v>
      </c>
      <c r="D378" s="401" t="s">
        <v>2199</v>
      </c>
      <c r="E378" s="401" t="s">
        <v>2244</v>
      </c>
      <c r="F378" s="401" t="s">
        <v>2288</v>
      </c>
      <c r="G378" s="400" t="str">
        <f t="shared" si="8"/>
        <v>Valore totale dell'investimento:</v>
      </c>
    </row>
    <row r="379" spans="1:7" x14ac:dyDescent="0.25">
      <c r="A379" s="423" t="s">
        <v>238</v>
      </c>
      <c r="B379" s="401" t="s">
        <v>2113</v>
      </c>
      <c r="C379" s="401" t="s">
        <v>2156</v>
      </c>
      <c r="D379" s="401" t="s">
        <v>2200</v>
      </c>
      <c r="E379" s="401" t="s">
        <v>2245</v>
      </c>
      <c r="F379" s="401" t="s">
        <v>2289</v>
      </c>
      <c r="G379" s="400" t="str">
        <f t="shared" si="8"/>
        <v>Anni alla pensione (se persona fisica)</v>
      </c>
    </row>
    <row r="380" spans="1:7" x14ac:dyDescent="0.25">
      <c r="A380" s="423" t="s">
        <v>239</v>
      </c>
      <c r="B380" s="401" t="s">
        <v>2114</v>
      </c>
      <c r="C380" s="401" t="s">
        <v>2157</v>
      </c>
      <c r="D380" s="401" t="s">
        <v>2201</v>
      </c>
      <c r="E380" s="401" t="s">
        <v>2246</v>
      </c>
      <c r="F380" s="401" t="s">
        <v>2290</v>
      </c>
      <c r="G380" s="400" t="str">
        <f t="shared" si="8"/>
        <v>Anni dell'ammortamento</v>
      </c>
    </row>
    <row r="381" spans="1:7" x14ac:dyDescent="0.25">
      <c r="A381" s="423" t="s">
        <v>240</v>
      </c>
      <c r="B381" s="401" t="s">
        <v>2764</v>
      </c>
      <c r="C381" s="401" t="s">
        <v>2158</v>
      </c>
      <c r="D381" s="401" t="s">
        <v>2202</v>
      </c>
      <c r="E381" s="401" t="s">
        <v>2247</v>
      </c>
      <c r="F381" s="401" t="s">
        <v>2291</v>
      </c>
      <c r="G381" s="400" t="str">
        <f t="shared" si="8"/>
        <v>Parte dell'Ipoteca da ammortizzare:</v>
      </c>
    </row>
    <row r="382" spans="1:7" x14ac:dyDescent="0.25">
      <c r="A382" s="400" t="s">
        <v>2094</v>
      </c>
      <c r="B382" s="401" t="s">
        <v>2115</v>
      </c>
      <c r="C382" s="401" t="s">
        <v>2159</v>
      </c>
      <c r="D382" s="401" t="s">
        <v>2203</v>
      </c>
      <c r="E382" s="401" t="s">
        <v>2248</v>
      </c>
      <c r="F382" s="401" t="s">
        <v>2292</v>
      </c>
      <c r="G382" s="400" t="str">
        <f t="shared" si="8"/>
        <v>inserire i dati nei campi di colore giallo</v>
      </c>
    </row>
    <row r="383" spans="1:7" x14ac:dyDescent="0.25">
      <c r="A383" s="423" t="s">
        <v>241</v>
      </c>
      <c r="B383" s="401" t="s">
        <v>2116</v>
      </c>
      <c r="C383" s="401" t="s">
        <v>2160</v>
      </c>
      <c r="D383" s="401" t="s">
        <v>2204</v>
      </c>
      <c r="E383" s="401" t="s">
        <v>2249</v>
      </c>
      <c r="F383" s="401" t="s">
        <v>2293</v>
      </c>
      <c r="G383" s="400" t="str">
        <f t="shared" si="8"/>
        <v>CALCOLO DEL CAPITALE PROPRPIO:</v>
      </c>
    </row>
    <row r="384" spans="1:7" x14ac:dyDescent="0.25">
      <c r="A384" s="423" t="s">
        <v>242</v>
      </c>
      <c r="B384" s="401" t="s">
        <v>2117</v>
      </c>
      <c r="C384" s="401" t="s">
        <v>2161</v>
      </c>
      <c r="D384" s="401" t="s">
        <v>2205</v>
      </c>
      <c r="E384" s="401" t="s">
        <v>2250</v>
      </c>
      <c r="F384" s="401" t="s">
        <v>2294</v>
      </c>
      <c r="G384" s="400" t="str">
        <f t="shared" si="8"/>
        <v>Capitale proprio LPP</v>
      </c>
    </row>
    <row r="385" spans="1:7" x14ac:dyDescent="0.25">
      <c r="A385" s="423" t="s">
        <v>264</v>
      </c>
      <c r="B385" s="401" t="s">
        <v>2118</v>
      </c>
      <c r="C385" s="401" t="s">
        <v>2162</v>
      </c>
      <c r="D385" s="401" t="s">
        <v>2206</v>
      </c>
      <c r="E385" s="401" t="s">
        <v>2251</v>
      </c>
      <c r="F385" s="401" t="s">
        <v>2295</v>
      </c>
      <c r="G385" s="400" t="str">
        <f t="shared" si="8"/>
        <v>Capitale proprio cash + 3 pilastri</v>
      </c>
    </row>
    <row r="386" spans="1:7" x14ac:dyDescent="0.25">
      <c r="A386" s="423" t="s">
        <v>265</v>
      </c>
      <c r="B386" s="401" t="s">
        <v>2119</v>
      </c>
      <c r="C386" s="401" t="s">
        <v>2163</v>
      </c>
      <c r="D386" s="401" t="s">
        <v>2207</v>
      </c>
      <c r="E386" s="401" t="s">
        <v>2252</v>
      </c>
      <c r="F386" s="401" t="s">
        <v>2296</v>
      </c>
      <c r="G386" s="400" t="str">
        <f t="shared" si="8"/>
        <v>Annualità 3 pilastri nuovi</v>
      </c>
    </row>
    <row r="387" spans="1:7" x14ac:dyDescent="0.25">
      <c r="A387" s="423" t="s">
        <v>243</v>
      </c>
      <c r="B387" s="401" t="s">
        <v>2120</v>
      </c>
      <c r="C387" s="401" t="s">
        <v>2164</v>
      </c>
      <c r="D387" s="401" t="s">
        <v>2208</v>
      </c>
      <c r="E387" s="401" t="s">
        <v>2253</v>
      </c>
      <c r="F387" s="401" t="s">
        <v>2297</v>
      </c>
      <c r="G387" s="400" t="str">
        <f t="shared" si="8"/>
        <v>Capitale proprio in lavori</v>
      </c>
    </row>
    <row r="388" spans="1:7" ht="25" x14ac:dyDescent="0.25">
      <c r="A388" s="423" t="s">
        <v>266</v>
      </c>
      <c r="B388" s="401" t="s">
        <v>2121</v>
      </c>
      <c r="C388" s="401" t="s">
        <v>2165</v>
      </c>
      <c r="D388" s="401" t="s">
        <v>2209</v>
      </c>
      <c r="E388" s="401" t="s">
        <v>2254</v>
      </c>
      <c r="F388" s="401" t="s">
        <v>2298</v>
      </c>
      <c r="G388" s="400" t="str">
        <f t="shared" si="8"/>
        <v>Già versato, eredità, prestiti e altro</v>
      </c>
    </row>
    <row r="389" spans="1:7" x14ac:dyDescent="0.25">
      <c r="A389" s="423" t="s">
        <v>244</v>
      </c>
      <c r="B389" s="401" t="s">
        <v>2122</v>
      </c>
      <c r="C389" s="401" t="s">
        <v>2166</v>
      </c>
      <c r="D389" s="401" t="s">
        <v>2210</v>
      </c>
      <c r="E389" s="401" t="s">
        <v>2255</v>
      </c>
      <c r="F389" s="401" t="s">
        <v>2299</v>
      </c>
      <c r="G389" s="400" t="str">
        <f t="shared" si="8"/>
        <v>Capitale proprio totale:</v>
      </c>
    </row>
    <row r="390" spans="1:7" x14ac:dyDescent="0.25">
      <c r="A390" s="423" t="s">
        <v>245</v>
      </c>
      <c r="B390" s="401" t="s">
        <v>2123</v>
      </c>
      <c r="C390" s="401" t="s">
        <v>2167</v>
      </c>
      <c r="D390" s="401" t="s">
        <v>2211</v>
      </c>
      <c r="E390" s="401" t="s">
        <v>2256</v>
      </c>
      <c r="F390" s="401" t="s">
        <v>2300</v>
      </c>
      <c r="G390" s="400" t="str">
        <f t="shared" si="8"/>
        <v>Capitale proprio minimo necessario:</v>
      </c>
    </row>
    <row r="391" spans="1:7" x14ac:dyDescent="0.25">
      <c r="A391" s="423" t="s">
        <v>246</v>
      </c>
      <c r="B391" s="401" t="s">
        <v>2124</v>
      </c>
      <c r="C391" s="401" t="s">
        <v>2168</v>
      </c>
      <c r="D391" s="401" t="s">
        <v>2212</v>
      </c>
      <c r="E391" s="401" t="s">
        <v>2257</v>
      </c>
      <c r="F391" s="401" t="s">
        <v>2301</v>
      </c>
      <c r="G391" s="400" t="str">
        <f t="shared" si="8"/>
        <v>CALCOLO DELLA SOSTENIBILITÀ</v>
      </c>
    </row>
    <row r="392" spans="1:7" ht="23" customHeight="1" x14ac:dyDescent="0.25">
      <c r="A392" s="424" t="s">
        <v>247</v>
      </c>
      <c r="B392" s="401" t="s">
        <v>2125</v>
      </c>
      <c r="C392" s="401" t="s">
        <v>2169</v>
      </c>
      <c r="D392" s="401" t="s">
        <v>2213</v>
      </c>
      <c r="E392" s="401" t="s">
        <v>2258</v>
      </c>
      <c r="F392" s="401" t="s">
        <v>2302</v>
      </c>
      <c r="G392" s="400" t="str">
        <f t="shared" si="8"/>
        <v>Interessi teorici max. Annui: (valore standard, 5%)</v>
      </c>
    </row>
    <row r="393" spans="1:7" x14ac:dyDescent="0.25">
      <c r="A393" s="423" t="s">
        <v>248</v>
      </c>
      <c r="B393" s="401" t="s">
        <v>2126</v>
      </c>
      <c r="C393" s="401" t="s">
        <v>2170</v>
      </c>
      <c r="D393" s="401" t="s">
        <v>2214</v>
      </c>
      <c r="E393" s="401" t="s">
        <v>2259</v>
      </c>
      <c r="F393" s="401" t="s">
        <v>2303</v>
      </c>
      <c r="G393" s="400" t="str">
        <f t="shared" si="8"/>
        <v>Ammortamento annuo min. Obbl.</v>
      </c>
    </row>
    <row r="394" spans="1:7" x14ac:dyDescent="0.25">
      <c r="A394" s="423" t="s">
        <v>249</v>
      </c>
      <c r="B394" s="401" t="s">
        <v>2127</v>
      </c>
      <c r="C394" s="401" t="s">
        <v>2171</v>
      </c>
      <c r="D394" s="401" t="s">
        <v>2215</v>
      </c>
      <c r="E394" s="401" t="s">
        <v>2260</v>
      </c>
      <c r="F394" s="401" t="s">
        <v>2304</v>
      </c>
      <c r="G394" s="400" t="str">
        <f t="shared" si="8"/>
        <v>Spese di manutenzione</v>
      </c>
    </row>
    <row r="395" spans="1:7" x14ac:dyDescent="0.25">
      <c r="A395" s="423" t="s">
        <v>250</v>
      </c>
      <c r="B395" s="401" t="s">
        <v>2128</v>
      </c>
      <c r="C395" s="401" t="s">
        <v>2172</v>
      </c>
      <c r="D395" s="401" t="s">
        <v>2216</v>
      </c>
      <c r="E395" s="401" t="s">
        <v>2261</v>
      </c>
      <c r="F395" s="401" t="s">
        <v>2305</v>
      </c>
      <c r="G395" s="400" t="str">
        <f t="shared" si="8"/>
        <v>Onere teorico max. totale:</v>
      </c>
    </row>
    <row r="396" spans="1:7" x14ac:dyDescent="0.25">
      <c r="A396" s="423" t="s">
        <v>251</v>
      </c>
      <c r="B396" s="401" t="s">
        <v>2129</v>
      </c>
      <c r="C396" s="401" t="s">
        <v>2173</v>
      </c>
      <c r="D396" s="401" t="s">
        <v>2217</v>
      </c>
      <c r="E396" s="401" t="s">
        <v>2262</v>
      </c>
      <c r="F396" s="401" t="s">
        <v>2306</v>
      </c>
      <c r="G396" s="400" t="str">
        <f t="shared" si="8"/>
        <v>Totale dei redditi lordi annui:</v>
      </c>
    </row>
    <row r="397" spans="1:7" x14ac:dyDescent="0.25">
      <c r="A397" s="423" t="s">
        <v>252</v>
      </c>
      <c r="B397" s="401" t="s">
        <v>2130</v>
      </c>
      <c r="C397" s="401" t="s">
        <v>2174</v>
      </c>
      <c r="D397" s="401" t="s">
        <v>2218</v>
      </c>
      <c r="E397" s="401" t="s">
        <v>2263</v>
      </c>
      <c r="F397" s="401" t="s">
        <v>2307</v>
      </c>
      <c r="G397" s="400" t="str">
        <f t="shared" si="8"/>
        <v>Entrate da affitti:</v>
      </c>
    </row>
    <row r="398" spans="1:7" x14ac:dyDescent="0.25">
      <c r="A398" s="423" t="s">
        <v>253</v>
      </c>
      <c r="B398" s="401" t="s">
        <v>2131</v>
      </c>
      <c r="C398" s="401" t="s">
        <v>2175</v>
      </c>
      <c r="D398" s="401" t="s">
        <v>2219</v>
      </c>
      <c r="E398" s="401" t="s">
        <v>2264</v>
      </c>
      <c r="F398" s="401" t="s">
        <v>2308</v>
      </c>
      <c r="G398" s="400" t="str">
        <f t="shared" si="8"/>
        <v>Percentuale di sostenibilità:</v>
      </c>
    </row>
    <row r="399" spans="1:7" ht="12.5" customHeight="1" x14ac:dyDescent="0.25">
      <c r="A399" s="424" t="s">
        <v>254</v>
      </c>
      <c r="B399" s="401" t="s">
        <v>2132</v>
      </c>
      <c r="C399" s="401" t="s">
        <v>2176</v>
      </c>
      <c r="D399" s="401" t="s">
        <v>2220</v>
      </c>
      <c r="E399" s="401" t="s">
        <v>2265</v>
      </c>
      <c r="F399" s="401" t="s">
        <v>2309</v>
      </c>
      <c r="G399" s="400" t="str">
        <f t="shared" si="8"/>
        <v>Garanzia aggiuntiva: Vedi differenza con sostenibilità eredi in caso di decesso.</v>
      </c>
    </row>
    <row r="400" spans="1:7" ht="25" x14ac:dyDescent="0.25">
      <c r="A400" s="400" t="s">
        <v>2095</v>
      </c>
      <c r="B400" s="401" t="s">
        <v>2133</v>
      </c>
      <c r="C400" s="401" t="s">
        <v>2177</v>
      </c>
      <c r="D400" s="401" t="s">
        <v>2221</v>
      </c>
      <c r="E400" s="401" t="s">
        <v>2266</v>
      </c>
      <c r="F400" s="401" t="s">
        <v>2310</v>
      </c>
      <c r="G400" s="400" t="str">
        <f t="shared" si="8"/>
        <v>Capitale proprio non LPP insufficiente (min 10%)</v>
      </c>
    </row>
    <row r="401" spans="1:7" ht="25" x14ac:dyDescent="0.25">
      <c r="A401" s="400" t="s">
        <v>2096</v>
      </c>
      <c r="B401" s="401" t="s">
        <v>2134</v>
      </c>
      <c r="C401" s="401" t="s">
        <v>2178</v>
      </c>
      <c r="D401" s="401" t="s">
        <v>2222</v>
      </c>
      <c r="E401" s="401" t="s">
        <v>2267</v>
      </c>
      <c r="F401" s="401" t="s">
        <v>2311</v>
      </c>
      <c r="G401" s="400" t="str">
        <f t="shared" si="8"/>
        <v>capitale cash insufficiente per i costi di rogito (min 2%)</v>
      </c>
    </row>
    <row r="402" spans="1:7" x14ac:dyDescent="0.25">
      <c r="A402" s="400" t="s">
        <v>2097</v>
      </c>
      <c r="B402" s="401" t="s">
        <v>2135</v>
      </c>
      <c r="C402" s="401" t="s">
        <v>2179</v>
      </c>
      <c r="D402" s="401" t="s">
        <v>2223</v>
      </c>
      <c r="E402" s="401" t="s">
        <v>2268</v>
      </c>
      <c r="F402" s="401" t="s">
        <v>2312</v>
      </c>
      <c r="G402" s="400" t="str">
        <f t="shared" si="8"/>
        <v>capitale proprio insufficente (min. 20%)</v>
      </c>
    </row>
    <row r="403" spans="1:7" ht="37.5" x14ac:dyDescent="0.25">
      <c r="A403" s="433" t="s">
        <v>2098</v>
      </c>
      <c r="B403" s="401" t="s">
        <v>2136</v>
      </c>
      <c r="C403" s="401" t="s">
        <v>2180</v>
      </c>
      <c r="D403" s="401" t="s">
        <v>2224</v>
      </c>
      <c r="E403" s="401" t="s">
        <v>2269</v>
      </c>
      <c r="F403" s="401" t="s">
        <v>2313</v>
      </c>
      <c r="G403" s="400" t="str">
        <f t="shared" si="8"/>
        <v>Oggetto a reddito: L'onere teorico max. totale (riga 29) deve essere coperto con le entrate da affitti (riga 32)</v>
      </c>
    </row>
    <row r="404" spans="1:7" x14ac:dyDescent="0.25">
      <c r="A404" s="400" t="s">
        <v>2099</v>
      </c>
      <c r="B404" s="401" t="s">
        <v>2137</v>
      </c>
      <c r="C404" s="401" t="s">
        <v>2181</v>
      </c>
      <c r="D404" s="401" t="s">
        <v>2225</v>
      </c>
      <c r="E404" s="401" t="s">
        <v>2270</v>
      </c>
      <c r="F404" s="401" t="s">
        <v>2314</v>
      </c>
      <c r="G404" s="400" t="str">
        <f t="shared" si="8"/>
        <v>sostenibilità insufficiente (max. 33%)</v>
      </c>
    </row>
    <row r="405" spans="1:7" x14ac:dyDescent="0.25">
      <c r="A405" s="423" t="s">
        <v>255</v>
      </c>
      <c r="B405" s="401" t="s">
        <v>2138</v>
      </c>
      <c r="C405" s="401" t="s">
        <v>2182</v>
      </c>
      <c r="D405" s="401" t="s">
        <v>2226</v>
      </c>
      <c r="E405" s="401" t="s">
        <v>2271</v>
      </c>
      <c r="F405" s="401" t="s">
        <v>2315</v>
      </c>
      <c r="G405" s="400" t="str">
        <f t="shared" si="8"/>
        <v>RICHIESTA IPOTECARIA:</v>
      </c>
    </row>
    <row r="406" spans="1:7" x14ac:dyDescent="0.25">
      <c r="A406" s="423" t="s">
        <v>256</v>
      </c>
      <c r="B406" s="401" t="s">
        <v>2139</v>
      </c>
      <c r="C406" s="401" t="s">
        <v>2183</v>
      </c>
      <c r="D406" s="401" t="s">
        <v>2227</v>
      </c>
      <c r="E406" s="401" t="s">
        <v>2272</v>
      </c>
      <c r="F406" s="401" t="s">
        <v>2316</v>
      </c>
      <c r="G406" s="400" t="str">
        <f t="shared" si="8"/>
        <v>Ipoteca 1. grado max:</v>
      </c>
    </row>
    <row r="407" spans="1:7" x14ac:dyDescent="0.25">
      <c r="A407" s="423" t="s">
        <v>257</v>
      </c>
      <c r="B407" s="401" t="s">
        <v>2140</v>
      </c>
      <c r="C407" s="401" t="s">
        <v>2184</v>
      </c>
      <c r="D407" s="401" t="s">
        <v>2228</v>
      </c>
      <c r="E407" s="401" t="s">
        <v>2273</v>
      </c>
      <c r="F407" s="401" t="s">
        <v>2317</v>
      </c>
      <c r="G407" s="400" t="str">
        <f t="shared" si="8"/>
        <v>Ipoteca 2. grado max:</v>
      </c>
    </row>
    <row r="408" spans="1:7" x14ac:dyDescent="0.25">
      <c r="A408" s="423" t="s">
        <v>258</v>
      </c>
      <c r="B408" s="401" t="s">
        <v>2141</v>
      </c>
      <c r="C408" s="401" t="s">
        <v>2185</v>
      </c>
      <c r="D408" s="401" t="s">
        <v>2229</v>
      </c>
      <c r="E408" s="401" t="s">
        <v>2274</v>
      </c>
      <c r="F408" s="401" t="s">
        <v>2318</v>
      </c>
      <c r="G408" s="400" t="str">
        <f t="shared" si="8"/>
        <v>Ipoteca max totale:</v>
      </c>
    </row>
    <row r="409" spans="1:7" x14ac:dyDescent="0.25">
      <c r="A409" s="423" t="s">
        <v>259</v>
      </c>
      <c r="B409" s="401" t="s">
        <v>2142</v>
      </c>
      <c r="C409" s="401" t="s">
        <v>2186</v>
      </c>
      <c r="D409" s="401" t="s">
        <v>2230</v>
      </c>
      <c r="E409" s="401" t="s">
        <v>2275</v>
      </c>
      <c r="F409" s="401" t="s">
        <v>2319</v>
      </c>
      <c r="G409" s="400" t="str">
        <f t="shared" ref="G409:G410" si="9">IF($C$1="IT",A409,IF($C$1="DE",B409,IF($C$1="FR",C409,IF($C$1="PT",D409,IF($C$1="RU",E409,IF($C$1="EN",F409,A409))))))</f>
        <v>Ipoteca richiesta:</v>
      </c>
    </row>
    <row r="410" spans="1:7" ht="12.5" customHeight="1" x14ac:dyDescent="0.25">
      <c r="A410" s="400" t="s">
        <v>2100</v>
      </c>
      <c r="B410" s="401" t="s">
        <v>2765</v>
      </c>
      <c r="C410" s="401" t="s">
        <v>2187</v>
      </c>
      <c r="D410" s="401" t="s">
        <v>2231</v>
      </c>
      <c r="E410" s="401" t="s">
        <v>2276</v>
      </c>
      <c r="F410" s="401" t="s">
        <v>2320</v>
      </c>
      <c r="G410" s="400" t="str">
        <f t="shared" si="9"/>
        <v>richiesta ipotecaria eccessiva (max. 80% dell'investimento... aumentare il capitale proprio!)</v>
      </c>
    </row>
    <row r="411" spans="1:7" x14ac:dyDescent="0.25">
      <c r="A411" s="400"/>
      <c r="B411" s="400"/>
      <c r="C411" s="400"/>
      <c r="D411" s="400"/>
      <c r="E411" s="400"/>
      <c r="F411" s="400"/>
      <c r="G411" s="400"/>
    </row>
    <row r="412" spans="1:7" x14ac:dyDescent="0.25">
      <c r="A412" s="400"/>
      <c r="B412" s="400"/>
      <c r="C412" s="400"/>
      <c r="D412" s="400"/>
      <c r="E412" s="400"/>
      <c r="F412" s="400"/>
      <c r="G412" s="400"/>
    </row>
    <row r="413" spans="1:7" x14ac:dyDescent="0.25">
      <c r="A413" s="400"/>
      <c r="B413" s="400"/>
      <c r="C413" s="400"/>
      <c r="D413" s="400"/>
      <c r="E413" s="400"/>
      <c r="F413" s="400"/>
      <c r="G413" s="400"/>
    </row>
    <row r="414" spans="1:7" ht="13" x14ac:dyDescent="0.3">
      <c r="A414" s="421" t="s">
        <v>280</v>
      </c>
      <c r="B414" s="401" t="s">
        <v>2321</v>
      </c>
      <c r="C414" s="401" t="s">
        <v>2348</v>
      </c>
      <c r="D414" s="401" t="s">
        <v>2393</v>
      </c>
      <c r="E414" s="401" t="s">
        <v>2437</v>
      </c>
      <c r="F414" s="401" t="s">
        <v>2483</v>
      </c>
      <c r="G414" s="400" t="str">
        <f t="shared" ref="G414:G476" si="10">IF($C$1="IT",A414,IF($C$1="DE",B414,IF($C$1="FR",C414,IF($C$1="PT",D414,IF($C$1="RU",E414,IF($C$1="EN",F414,A414))))))</f>
        <v>NOTA PER IL CONSULENTE</v>
      </c>
    </row>
    <row r="415" spans="1:7" ht="15.5" customHeight="1" x14ac:dyDescent="0.3">
      <c r="A415" s="434" t="s">
        <v>281</v>
      </c>
      <c r="B415" s="401" t="s">
        <v>2322</v>
      </c>
      <c r="C415" s="401" t="s">
        <v>2349</v>
      </c>
      <c r="D415" s="401" t="s">
        <v>2394</v>
      </c>
      <c r="E415" s="401" t="s">
        <v>2438</v>
      </c>
      <c r="F415" s="401" t="s">
        <v>2484</v>
      </c>
      <c r="G415" s="400" t="str">
        <f t="shared" si="10"/>
        <v>Usa questa tabella per correggere eventuali valori preimpostati dal calcolo automatizzato. Per modificare dati, elimina la protezione del foglio ed esegui le modifiche.</v>
      </c>
    </row>
    <row r="416" spans="1:7" x14ac:dyDescent="0.25">
      <c r="A416" s="419" t="s">
        <v>285</v>
      </c>
      <c r="B416" s="401" t="s">
        <v>2323</v>
      </c>
      <c r="C416" s="401" t="s">
        <v>2350</v>
      </c>
      <c r="D416" s="401" t="s">
        <v>2395</v>
      </c>
      <c r="E416" s="401" t="s">
        <v>2439</v>
      </c>
      <c r="F416" s="401" t="s">
        <v>2485</v>
      </c>
      <c r="G416" s="400" t="str">
        <f t="shared" si="10"/>
        <v>MODULO DI CONTROLLO</v>
      </c>
    </row>
    <row r="417" spans="1:7" x14ac:dyDescent="0.25">
      <c r="A417" s="425" t="s">
        <v>34</v>
      </c>
      <c r="B417" s="401" t="s">
        <v>2324</v>
      </c>
      <c r="C417" s="401" t="s">
        <v>2351</v>
      </c>
      <c r="D417" s="401" t="s">
        <v>2396</v>
      </c>
      <c r="E417" s="401" t="s">
        <v>2440</v>
      </c>
      <c r="F417" s="401" t="s">
        <v>2486</v>
      </c>
      <c r="G417" s="400" t="str">
        <f t="shared" si="10"/>
        <v>DATI FORNITI DAL CLIENTE:</v>
      </c>
    </row>
    <row r="418" spans="1:7" x14ac:dyDescent="0.25">
      <c r="A418" s="419" t="s">
        <v>35</v>
      </c>
      <c r="B418" s="401" t="s">
        <v>1687</v>
      </c>
      <c r="C418" s="401" t="s">
        <v>1705</v>
      </c>
      <c r="D418" s="401" t="s">
        <v>1770</v>
      </c>
      <c r="E418" s="401" t="s">
        <v>2441</v>
      </c>
      <c r="F418" s="401" t="s">
        <v>2487</v>
      </c>
      <c r="G418" s="400" t="str">
        <f t="shared" si="10"/>
        <v>Calcolo previdenziale per:</v>
      </c>
    </row>
    <row r="419" spans="1:7" x14ac:dyDescent="0.25">
      <c r="A419" s="419" t="s">
        <v>37</v>
      </c>
      <c r="B419" s="401" t="s">
        <v>403</v>
      </c>
      <c r="C419" s="401" t="s">
        <v>1595</v>
      </c>
      <c r="D419" s="401" t="s">
        <v>1618</v>
      </c>
      <c r="E419" s="401" t="s">
        <v>1641</v>
      </c>
      <c r="F419" s="401" t="s">
        <v>1664</v>
      </c>
      <c r="G419" s="400" t="str">
        <f t="shared" si="10"/>
        <v>Età</v>
      </c>
    </row>
    <row r="420" spans="1:7" ht="25" x14ac:dyDescent="0.25">
      <c r="A420" s="419" t="s">
        <v>39</v>
      </c>
      <c r="B420" s="401" t="s">
        <v>2766</v>
      </c>
      <c r="C420" s="401" t="s">
        <v>2352</v>
      </c>
      <c r="D420" s="401" t="s">
        <v>2397</v>
      </c>
      <c r="E420" s="401" t="s">
        <v>2442</v>
      </c>
      <c r="F420" s="401" t="s">
        <v>2488</v>
      </c>
      <c r="G420" s="400" t="str">
        <f t="shared" si="10"/>
        <v>N. Figli minorenni o agli studi:</v>
      </c>
    </row>
    <row r="421" spans="1:7" x14ac:dyDescent="0.25">
      <c r="A421" s="420" t="s">
        <v>41</v>
      </c>
      <c r="B421" s="401" t="s">
        <v>2325</v>
      </c>
      <c r="C421" s="401" t="s">
        <v>2353</v>
      </c>
      <c r="D421" s="401" t="s">
        <v>2398</v>
      </c>
      <c r="E421" s="401" t="s">
        <v>2443</v>
      </c>
      <c r="F421" s="401" t="s">
        <v>2489</v>
      </c>
      <c r="G421" s="400" t="str">
        <f t="shared" si="10"/>
        <v>Sesso (Uomo =1 / Donna = 0)</v>
      </c>
    </row>
    <row r="422" spans="1:7" x14ac:dyDescent="0.25">
      <c r="A422" s="419" t="s">
        <v>43</v>
      </c>
      <c r="B422" s="401" t="s">
        <v>2326</v>
      </c>
      <c r="C422" s="401" t="s">
        <v>2354</v>
      </c>
      <c r="D422" s="401" t="s">
        <v>2399</v>
      </c>
      <c r="E422" s="401" t="s">
        <v>2444</v>
      </c>
      <c r="F422" s="401" t="s">
        <v>2490</v>
      </c>
      <c r="G422" s="400" t="str">
        <f t="shared" si="10"/>
        <v>Salario Attuale lordo annuo</v>
      </c>
    </row>
    <row r="423" spans="1:7" x14ac:dyDescent="0.25">
      <c r="A423" s="419" t="s">
        <v>45</v>
      </c>
      <c r="B423" s="401" t="s">
        <v>2327</v>
      </c>
      <c r="C423" s="401" t="s">
        <v>2355</v>
      </c>
      <c r="D423" s="401" t="s">
        <v>2400</v>
      </c>
      <c r="E423" s="401" t="s">
        <v>2445</v>
      </c>
      <c r="F423" s="401" t="s">
        <v>2491</v>
      </c>
      <c r="G423" s="400" t="str">
        <f t="shared" si="10"/>
        <v>Fabbisogno annuo (Pensione/invalid.)</v>
      </c>
    </row>
    <row r="424" spans="1:7" x14ac:dyDescent="0.25">
      <c r="A424" s="419" t="s">
        <v>223</v>
      </c>
      <c r="B424" s="401" t="s">
        <v>2328</v>
      </c>
      <c r="C424" s="401" t="s">
        <v>2356</v>
      </c>
      <c r="D424" s="401" t="s">
        <v>2401</v>
      </c>
      <c r="E424" s="401" t="s">
        <v>2446</v>
      </c>
      <c r="F424" s="401" t="s">
        <v>2492</v>
      </c>
      <c r="G424" s="400" t="str">
        <f t="shared" si="10"/>
        <v>Fabbisogno annuo in caso di vedovanza</v>
      </c>
    </row>
    <row r="425" spans="1:7" ht="25" x14ac:dyDescent="0.25">
      <c r="A425" s="419" t="s">
        <v>46</v>
      </c>
      <c r="B425" s="401" t="s">
        <v>2329</v>
      </c>
      <c r="C425" s="401" t="s">
        <v>2357</v>
      </c>
      <c r="D425" s="401" t="s">
        <v>2402</v>
      </c>
      <c r="E425" s="401" t="s">
        <v>2447</v>
      </c>
      <c r="F425" s="401" t="s">
        <v>2493</v>
      </c>
      <c r="G425" s="400" t="str">
        <f t="shared" si="10"/>
        <v>Impegni da liquidare entro il pens.</v>
      </c>
    </row>
    <row r="426" spans="1:7" x14ac:dyDescent="0.25">
      <c r="A426" s="419" t="s">
        <v>176</v>
      </c>
      <c r="B426" s="401" t="s">
        <v>2330</v>
      </c>
      <c r="C426" s="401" t="s">
        <v>2358</v>
      </c>
      <c r="D426" s="401" t="s">
        <v>2403</v>
      </c>
      <c r="E426" s="401" t="s">
        <v>2448</v>
      </c>
      <c r="F426" s="401" t="s">
        <v>2494</v>
      </c>
      <c r="G426" s="400" t="str">
        <f t="shared" si="10"/>
        <v>Costi annui per leasing, crediti privati</v>
      </c>
    </row>
    <row r="427" spans="1:7" x14ac:dyDescent="0.25">
      <c r="A427" s="419" t="s">
        <v>180</v>
      </c>
      <c r="B427" s="401" t="s">
        <v>2331</v>
      </c>
      <c r="C427" s="401" t="s">
        <v>2359</v>
      </c>
      <c r="D427" s="401" t="s">
        <v>2404</v>
      </c>
      <c r="E427" s="401" t="s">
        <v>2449</v>
      </c>
      <c r="F427" s="401" t="s">
        <v>2495</v>
      </c>
      <c r="G427" s="400" t="str">
        <f t="shared" si="10"/>
        <v>Capitale disponibile x acquisto abitazione</v>
      </c>
    </row>
    <row r="428" spans="1:7" x14ac:dyDescent="0.25">
      <c r="A428" s="419" t="s">
        <v>181</v>
      </c>
      <c r="B428" s="401" t="s">
        <v>2332</v>
      </c>
      <c r="C428" s="401" t="s">
        <v>2360</v>
      </c>
      <c r="D428" s="401" t="s">
        <v>2405</v>
      </c>
      <c r="E428" s="401" t="s">
        <v>2450</v>
      </c>
      <c r="F428" s="401" t="s">
        <v>2496</v>
      </c>
      <c r="G428" s="400" t="str">
        <f t="shared" si="10"/>
        <v>Risparmio attuale annuo</v>
      </c>
    </row>
    <row r="429" spans="1:7" x14ac:dyDescent="0.25">
      <c r="A429" s="419" t="s">
        <v>182</v>
      </c>
      <c r="B429" s="401" t="s">
        <v>2333</v>
      </c>
      <c r="C429" s="401" t="s">
        <v>2361</v>
      </c>
      <c r="D429" s="401" t="s">
        <v>2406</v>
      </c>
      <c r="E429" s="401" t="s">
        <v>2451</v>
      </c>
      <c r="F429" s="401" t="s">
        <v>2497</v>
      </c>
      <c r="G429" s="400" t="str">
        <f t="shared" si="10"/>
        <v>Rsiparmio annuo per obiettivo abitazione</v>
      </c>
    </row>
    <row r="430" spans="1:7" x14ac:dyDescent="0.25">
      <c r="A430" s="419" t="s">
        <v>48</v>
      </c>
      <c r="B430" s="401" t="s">
        <v>2334</v>
      </c>
      <c r="C430" s="401" t="s">
        <v>2362</v>
      </c>
      <c r="D430" s="401" t="s">
        <v>2407</v>
      </c>
      <c r="E430" s="401" t="s">
        <v>2452</v>
      </c>
      <c r="F430" s="401" t="s">
        <v>2498</v>
      </c>
      <c r="G430" s="400" t="str">
        <f t="shared" si="10"/>
        <v>Protezione salario malattia (%)</v>
      </c>
    </row>
    <row r="431" spans="1:7" x14ac:dyDescent="0.25">
      <c r="A431" s="419" t="s">
        <v>301</v>
      </c>
      <c r="B431" s="401" t="s">
        <v>2767</v>
      </c>
      <c r="C431" s="401" t="s">
        <v>2363</v>
      </c>
      <c r="D431" s="401" t="s">
        <v>2408</v>
      </c>
      <c r="E431" s="401" t="s">
        <v>2453</v>
      </c>
      <c r="F431" s="401" t="s">
        <v>2499</v>
      </c>
      <c r="G431" s="400" t="str">
        <f t="shared" si="10"/>
        <v>Indennità giornaliera Lainf (%)</v>
      </c>
    </row>
    <row r="432" spans="1:7" x14ac:dyDescent="0.25">
      <c r="A432" s="419" t="s">
        <v>50</v>
      </c>
      <c r="B432" s="401" t="s">
        <v>2768</v>
      </c>
      <c r="C432" s="401" t="s">
        <v>2364</v>
      </c>
      <c r="D432" s="401" t="s">
        <v>2409</v>
      </c>
      <c r="E432" s="401" t="s">
        <v>2454</v>
      </c>
      <c r="F432" s="401" t="s">
        <v>2500</v>
      </c>
      <c r="G432" s="400" t="str">
        <f t="shared" si="10"/>
        <v>Invalidità Lainf (%)</v>
      </c>
    </row>
    <row r="433" spans="1:7" x14ac:dyDescent="0.25">
      <c r="A433" s="419" t="s">
        <v>2635</v>
      </c>
      <c r="B433" s="401" t="s">
        <v>2769</v>
      </c>
      <c r="C433" s="401" t="s">
        <v>2365</v>
      </c>
      <c r="D433" s="401" t="s">
        <v>2410</v>
      </c>
      <c r="E433" s="401" t="s">
        <v>2455</v>
      </c>
      <c r="F433" s="401" t="s">
        <v>2501</v>
      </c>
      <c r="G433" s="400" t="str">
        <f t="shared" si="10"/>
        <v>Rendita AVS/AI ante splitting (mensile a scala 44)</v>
      </c>
    </row>
    <row r="434" spans="1:7" ht="37.5" x14ac:dyDescent="0.25">
      <c r="A434" s="420" t="s">
        <v>2636</v>
      </c>
      <c r="B434" s="401" t="s">
        <v>2770</v>
      </c>
      <c r="C434" s="401" t="s">
        <v>2366</v>
      </c>
      <c r="D434" s="401" t="s">
        <v>2411</v>
      </c>
      <c r="E434" s="401" t="s">
        <v>2456</v>
      </c>
      <c r="F434" s="401" t="s">
        <v>2502</v>
      </c>
      <c r="G434" s="400" t="str">
        <f t="shared" si="10"/>
        <v>Rendita AVS/AI post splitting (ridotta per coniugati. 150% max e senza rendita figli) (mensile a scala 44)</v>
      </c>
    </row>
    <row r="435" spans="1:7" x14ac:dyDescent="0.25">
      <c r="A435" s="419" t="s">
        <v>51</v>
      </c>
      <c r="B435" s="401" t="s">
        <v>2335</v>
      </c>
      <c r="C435" s="401" t="s">
        <v>2367</v>
      </c>
      <c r="D435" s="401" t="s">
        <v>2412</v>
      </c>
      <c r="E435" s="401" t="s">
        <v>2457</v>
      </c>
      <c r="F435" s="401" t="s">
        <v>2503</v>
      </c>
      <c r="G435" s="400" t="str">
        <f t="shared" si="10"/>
        <v>Scala applicabile: (44?)</v>
      </c>
    </row>
    <row r="436" spans="1:7" x14ac:dyDescent="0.25">
      <c r="A436" s="419" t="s">
        <v>53</v>
      </c>
      <c r="B436" s="401" t="s">
        <v>2771</v>
      </c>
      <c r="C436" s="401" t="s">
        <v>2368</v>
      </c>
      <c r="D436" s="401" t="s">
        <v>2413</v>
      </c>
      <c r="E436" s="401" t="s">
        <v>2458</v>
      </c>
      <c r="F436" s="401" t="s">
        <v>2504</v>
      </c>
      <c r="G436" s="400" t="str">
        <f t="shared" si="10"/>
        <v>Rendita LPP invalidità annua</v>
      </c>
    </row>
    <row r="437" spans="1:7" x14ac:dyDescent="0.25">
      <c r="A437" s="419" t="s">
        <v>54</v>
      </c>
      <c r="B437" s="401" t="s">
        <v>2772</v>
      </c>
      <c r="C437" s="401" t="s">
        <v>2369</v>
      </c>
      <c r="D437" s="401" t="s">
        <v>2414</v>
      </c>
      <c r="E437" s="401" t="s">
        <v>2459</v>
      </c>
      <c r="F437" s="401" t="s">
        <v>2505</v>
      </c>
      <c r="G437" s="400" t="str">
        <f t="shared" si="10"/>
        <v>Rendita LPP per Pensione annua</v>
      </c>
    </row>
    <row r="438" spans="1:7" x14ac:dyDescent="0.25">
      <c r="A438" s="419" t="s">
        <v>178</v>
      </c>
      <c r="B438" s="401" t="s">
        <v>2773</v>
      </c>
      <c r="C438" s="401" t="s">
        <v>2370</v>
      </c>
      <c r="D438" s="401" t="s">
        <v>2415</v>
      </c>
      <c r="E438" s="401" t="s">
        <v>2460</v>
      </c>
      <c r="F438" s="401" t="s">
        <v>2506</v>
      </c>
      <c r="G438" s="400" t="str">
        <f t="shared" si="10"/>
        <v>Capitale attuale su LPP per Abitazione</v>
      </c>
    </row>
    <row r="439" spans="1:7" x14ac:dyDescent="0.25">
      <c r="A439" s="419" t="s">
        <v>179</v>
      </c>
      <c r="B439" s="401" t="s">
        <v>2774</v>
      </c>
      <c r="C439" s="401" t="s">
        <v>2371</v>
      </c>
      <c r="D439" s="401" t="s">
        <v>2416</v>
      </c>
      <c r="E439" s="401" t="s">
        <v>2461</v>
      </c>
      <c r="F439" s="401" t="s">
        <v>2507</v>
      </c>
      <c r="G439" s="400" t="str">
        <f t="shared" si="10"/>
        <v>Contributo annuo LPP totale</v>
      </c>
    </row>
    <row r="440" spans="1:7" ht="25" x14ac:dyDescent="0.25">
      <c r="A440" s="420" t="s">
        <v>355</v>
      </c>
      <c r="B440" s="401" t="s">
        <v>2775</v>
      </c>
      <c r="C440" s="401" t="s">
        <v>2372</v>
      </c>
      <c r="D440" s="401" t="s">
        <v>2417</v>
      </c>
      <c r="E440" s="401" t="s">
        <v>2462</v>
      </c>
      <c r="F440" s="401" t="s">
        <v>2508</v>
      </c>
      <c r="G440" s="400" t="str">
        <f t="shared" si="10"/>
        <v>Il cliente ha diritto a una rendita di vedovanza AVS se il partner decede?</v>
      </c>
    </row>
    <row r="441" spans="1:7" ht="25" x14ac:dyDescent="0.25">
      <c r="A441" s="420" t="s">
        <v>354</v>
      </c>
      <c r="B441" s="401" t="s">
        <v>2776</v>
      </c>
      <c r="C441" s="401" t="s">
        <v>2373</v>
      </c>
      <c r="D441" s="401" t="s">
        <v>2418</v>
      </c>
      <c r="E441" s="401" t="s">
        <v>2463</v>
      </c>
      <c r="F441" s="401" t="s">
        <v>2509</v>
      </c>
      <c r="G441" s="400" t="str">
        <f t="shared" si="10"/>
        <v>Il cliente ha diritto a una rendita di vedovanza LPP se il partner decede?</v>
      </c>
    </row>
    <row r="442" spans="1:7" ht="25" x14ac:dyDescent="0.25">
      <c r="A442" s="420" t="s">
        <v>356</v>
      </c>
      <c r="B442" s="401" t="s">
        <v>2777</v>
      </c>
      <c r="C442" s="401" t="s">
        <v>2374</v>
      </c>
      <c r="D442" s="401" t="s">
        <v>2419</v>
      </c>
      <c r="E442" s="401" t="s">
        <v>2464</v>
      </c>
      <c r="F442" s="401" t="s">
        <v>2510</v>
      </c>
      <c r="G442" s="400" t="str">
        <f t="shared" si="10"/>
        <v>Il cliente ha diritto a una rendita di vedovanza LAINF se il partner decede?</v>
      </c>
    </row>
    <row r="443" spans="1:7" ht="13" x14ac:dyDescent="0.3">
      <c r="A443" s="426" t="s">
        <v>36</v>
      </c>
      <c r="B443" s="401" t="s">
        <v>2336</v>
      </c>
      <c r="C443" s="401" t="s">
        <v>536</v>
      </c>
      <c r="D443" s="401" t="s">
        <v>553</v>
      </c>
      <c r="E443" s="401" t="s">
        <v>570</v>
      </c>
      <c r="F443" s="401" t="s">
        <v>2511</v>
      </c>
      <c r="G443" s="400" t="str">
        <f t="shared" si="10"/>
        <v>Nome e cognome</v>
      </c>
    </row>
    <row r="444" spans="1:7" ht="13" x14ac:dyDescent="0.3">
      <c r="A444" s="426" t="s">
        <v>38</v>
      </c>
      <c r="B444" s="401" t="s">
        <v>2337</v>
      </c>
      <c r="C444" s="401" t="s">
        <v>1595</v>
      </c>
      <c r="D444" s="401" t="s">
        <v>1618</v>
      </c>
      <c r="E444" s="401" t="s">
        <v>1641</v>
      </c>
      <c r="F444" s="401" t="s">
        <v>2512</v>
      </c>
      <c r="G444" s="400" t="str">
        <f t="shared" si="10"/>
        <v>Anni</v>
      </c>
    </row>
    <row r="445" spans="1:7" ht="13" x14ac:dyDescent="0.3">
      <c r="A445" s="426" t="s">
        <v>40</v>
      </c>
      <c r="B445" s="401" t="s">
        <v>2338</v>
      </c>
      <c r="C445" s="401" t="s">
        <v>2375</v>
      </c>
      <c r="D445" s="401" t="s">
        <v>2420</v>
      </c>
      <c r="E445" s="401" t="s">
        <v>2465</v>
      </c>
      <c r="F445" s="401" t="s">
        <v>2513</v>
      </c>
      <c r="G445" s="400" t="str">
        <f t="shared" si="10"/>
        <v>n. figli</v>
      </c>
    </row>
    <row r="446" spans="1:7" ht="13" x14ac:dyDescent="0.3">
      <c r="A446" s="426" t="s">
        <v>42</v>
      </c>
      <c r="B446" s="401" t="s">
        <v>2339</v>
      </c>
      <c r="C446" s="401" t="s">
        <v>2339</v>
      </c>
      <c r="D446" s="401" t="s">
        <v>2339</v>
      </c>
      <c r="E446" s="401" t="s">
        <v>2339</v>
      </c>
      <c r="F446" s="401" t="s">
        <v>2339</v>
      </c>
      <c r="G446" s="400" t="str">
        <f t="shared" si="10"/>
        <v xml:space="preserve">1 / 0 </v>
      </c>
    </row>
    <row r="447" spans="1:7" ht="13" x14ac:dyDescent="0.3">
      <c r="A447" s="426" t="s">
        <v>44</v>
      </c>
      <c r="B447" s="401" t="s">
        <v>2340</v>
      </c>
      <c r="C447" s="401" t="s">
        <v>2376</v>
      </c>
      <c r="D447" s="401" t="s">
        <v>2421</v>
      </c>
      <c r="E447" s="401" t="s">
        <v>2466</v>
      </c>
      <c r="F447" s="401" t="s">
        <v>2514</v>
      </c>
      <c r="G447" s="400" t="str">
        <f t="shared" si="10"/>
        <v>importo annuo</v>
      </c>
    </row>
    <row r="448" spans="1:7" ht="13" x14ac:dyDescent="0.3">
      <c r="A448" s="426" t="s">
        <v>44</v>
      </c>
      <c r="B448" s="401" t="s">
        <v>2340</v>
      </c>
      <c r="C448" s="401" t="s">
        <v>2376</v>
      </c>
      <c r="D448" s="401" t="s">
        <v>2421</v>
      </c>
      <c r="E448" s="401" t="s">
        <v>2466</v>
      </c>
      <c r="F448" s="401" t="s">
        <v>2514</v>
      </c>
      <c r="G448" s="400" t="str">
        <f t="shared" si="10"/>
        <v>importo annuo</v>
      </c>
    </row>
    <row r="449" spans="1:7" ht="13" x14ac:dyDescent="0.3">
      <c r="A449" s="426" t="s">
        <v>47</v>
      </c>
      <c r="B449" s="401" t="s">
        <v>2341</v>
      </c>
      <c r="C449" s="401" t="s">
        <v>2377</v>
      </c>
      <c r="D449" s="401" t="s">
        <v>2377</v>
      </c>
      <c r="E449" s="401" t="s">
        <v>2467</v>
      </c>
      <c r="F449" s="401" t="s">
        <v>2377</v>
      </c>
      <c r="G449" s="400" t="str">
        <f t="shared" si="10"/>
        <v>Capitale</v>
      </c>
    </row>
    <row r="450" spans="1:7" ht="13" x14ac:dyDescent="0.3">
      <c r="A450" s="426" t="s">
        <v>49</v>
      </c>
      <c r="B450" s="401" t="s">
        <v>2342</v>
      </c>
      <c r="C450" s="401" t="s">
        <v>2378</v>
      </c>
      <c r="D450" s="401" t="s">
        <v>2422</v>
      </c>
      <c r="E450" s="401" t="s">
        <v>2468</v>
      </c>
      <c r="F450" s="401" t="s">
        <v>2515</v>
      </c>
      <c r="G450" s="400" t="str">
        <f t="shared" si="10"/>
        <v>percentuale</v>
      </c>
    </row>
    <row r="451" spans="1:7" ht="13" x14ac:dyDescent="0.3">
      <c r="A451" s="426" t="s">
        <v>49</v>
      </c>
      <c r="B451" s="401" t="s">
        <v>2342</v>
      </c>
      <c r="C451" s="401" t="s">
        <v>2378</v>
      </c>
      <c r="D451" s="401" t="s">
        <v>2422</v>
      </c>
      <c r="E451" s="401" t="s">
        <v>2468</v>
      </c>
      <c r="F451" s="401" t="s">
        <v>2515</v>
      </c>
      <c r="G451" s="400" t="str">
        <f t="shared" si="10"/>
        <v>percentuale</v>
      </c>
    </row>
    <row r="452" spans="1:7" ht="13" x14ac:dyDescent="0.3">
      <c r="A452" s="426" t="s">
        <v>49</v>
      </c>
      <c r="B452" s="401" t="s">
        <v>2342</v>
      </c>
      <c r="C452" s="401" t="s">
        <v>2378</v>
      </c>
      <c r="D452" s="401" t="s">
        <v>2422</v>
      </c>
      <c r="E452" s="401" t="s">
        <v>2468</v>
      </c>
      <c r="F452" s="401" t="s">
        <v>2515</v>
      </c>
      <c r="G452" s="400" t="str">
        <f t="shared" si="10"/>
        <v>percentuale</v>
      </c>
    </row>
    <row r="453" spans="1:7" ht="13" x14ac:dyDescent="0.3">
      <c r="A453" s="426" t="s">
        <v>52</v>
      </c>
      <c r="B453" s="401" t="s">
        <v>2343</v>
      </c>
      <c r="C453" s="401" t="s">
        <v>2379</v>
      </c>
      <c r="D453" s="401" t="s">
        <v>2423</v>
      </c>
      <c r="E453" s="401" t="s">
        <v>2469</v>
      </c>
      <c r="F453" s="401" t="s">
        <v>2516</v>
      </c>
      <c r="G453" s="400" t="str">
        <f t="shared" si="10"/>
        <v>numero scala</v>
      </c>
    </row>
    <row r="454" spans="1:7" ht="13" x14ac:dyDescent="0.3">
      <c r="A454" s="426" t="s">
        <v>55</v>
      </c>
      <c r="B454" s="401" t="s">
        <v>2344</v>
      </c>
      <c r="C454" s="401" t="s">
        <v>2380</v>
      </c>
      <c r="D454" s="401" t="s">
        <v>2424</v>
      </c>
      <c r="E454" s="401" t="s">
        <v>2470</v>
      </c>
      <c r="F454" s="401" t="s">
        <v>2517</v>
      </c>
      <c r="G454" s="400" t="str">
        <f t="shared" si="10"/>
        <v xml:space="preserve">Si=1 /  No=0 </v>
      </c>
    </row>
    <row r="455" spans="1:7" ht="13" x14ac:dyDescent="0.3">
      <c r="A455" s="426" t="s">
        <v>55</v>
      </c>
      <c r="B455" s="401" t="s">
        <v>2344</v>
      </c>
      <c r="C455" s="401" t="s">
        <v>2380</v>
      </c>
      <c r="D455" s="401" t="s">
        <v>2424</v>
      </c>
      <c r="E455" s="401" t="s">
        <v>2470</v>
      </c>
      <c r="F455" s="401" t="s">
        <v>2517</v>
      </c>
      <c r="G455" s="400" t="str">
        <f t="shared" si="10"/>
        <v xml:space="preserve">Si=1 /  No=0 </v>
      </c>
    </row>
    <row r="456" spans="1:7" ht="13" x14ac:dyDescent="0.3">
      <c r="A456" s="426" t="s">
        <v>55</v>
      </c>
      <c r="B456" s="401" t="s">
        <v>2344</v>
      </c>
      <c r="C456" s="401" t="s">
        <v>2380</v>
      </c>
      <c r="D456" s="401" t="s">
        <v>2424</v>
      </c>
      <c r="E456" s="401" t="s">
        <v>2470</v>
      </c>
      <c r="F456" s="401" t="s">
        <v>2517</v>
      </c>
      <c r="G456" s="400" t="str">
        <f t="shared" si="10"/>
        <v xml:space="preserve">Si=1 /  No=0 </v>
      </c>
    </row>
    <row r="457" spans="1:7" ht="21" customHeight="1" x14ac:dyDescent="0.3">
      <c r="A457" s="434" t="s">
        <v>282</v>
      </c>
      <c r="B457" s="401" t="s">
        <v>2345</v>
      </c>
      <c r="C457" s="401" t="s">
        <v>2381</v>
      </c>
      <c r="D457" s="401" t="s">
        <v>2425</v>
      </c>
      <c r="E457" s="401" t="s">
        <v>2471</v>
      </c>
      <c r="F457" s="401" t="s">
        <v>2518</v>
      </c>
      <c r="G457" s="400" t="str">
        <f t="shared" si="10"/>
        <v>Dati preimpostati per calcolo 3a cliente</v>
      </c>
    </row>
    <row r="458" spans="1:7" ht="13" x14ac:dyDescent="0.3">
      <c r="A458" s="426" t="s">
        <v>44</v>
      </c>
      <c r="B458" s="401" t="s">
        <v>2340</v>
      </c>
      <c r="C458" s="401" t="s">
        <v>2376</v>
      </c>
      <c r="D458" s="401" t="s">
        <v>2421</v>
      </c>
      <c r="E458" s="401" t="s">
        <v>2466</v>
      </c>
      <c r="F458" s="401" t="s">
        <v>2514</v>
      </c>
      <c r="G458" s="400" t="str">
        <f t="shared" si="10"/>
        <v>importo annuo</v>
      </c>
    </row>
    <row r="459" spans="1:7" ht="13" x14ac:dyDescent="0.3">
      <c r="A459" s="426" t="s">
        <v>38</v>
      </c>
      <c r="B459" s="401" t="s">
        <v>2337</v>
      </c>
      <c r="C459" s="401" t="s">
        <v>1595</v>
      </c>
      <c r="D459" s="401" t="s">
        <v>1618</v>
      </c>
      <c r="E459" s="401" t="s">
        <v>1641</v>
      </c>
      <c r="F459" s="401" t="s">
        <v>2512</v>
      </c>
      <c r="G459" s="400" t="str">
        <f t="shared" si="10"/>
        <v>Anni</v>
      </c>
    </row>
    <row r="460" spans="1:7" ht="13" x14ac:dyDescent="0.3">
      <c r="A460" s="426" t="s">
        <v>55</v>
      </c>
      <c r="B460" s="401" t="s">
        <v>2344</v>
      </c>
      <c r="C460" s="401" t="s">
        <v>2380</v>
      </c>
      <c r="D460" s="401" t="s">
        <v>2424</v>
      </c>
      <c r="E460" s="401" t="s">
        <v>2470</v>
      </c>
      <c r="F460" s="401" t="s">
        <v>2517</v>
      </c>
      <c r="G460" s="400" t="str">
        <f t="shared" si="10"/>
        <v xml:space="preserve">Si=1 /  No=0 </v>
      </c>
    </row>
    <row r="461" spans="1:7" ht="13" x14ac:dyDescent="0.3">
      <c r="A461" s="426" t="s">
        <v>44</v>
      </c>
      <c r="B461" s="401" t="s">
        <v>2340</v>
      </c>
      <c r="C461" s="401" t="s">
        <v>2376</v>
      </c>
      <c r="D461" s="401" t="s">
        <v>2421</v>
      </c>
      <c r="E461" s="401" t="s">
        <v>2466</v>
      </c>
      <c r="F461" s="401" t="s">
        <v>2514</v>
      </c>
      <c r="G461" s="400" t="str">
        <f t="shared" si="10"/>
        <v>importo annuo</v>
      </c>
    </row>
    <row r="462" spans="1:7" ht="13" x14ac:dyDescent="0.3">
      <c r="A462" s="426" t="s">
        <v>47</v>
      </c>
      <c r="B462" s="401" t="s">
        <v>2341</v>
      </c>
      <c r="C462" s="401" t="s">
        <v>2377</v>
      </c>
      <c r="D462" s="401" t="s">
        <v>2377</v>
      </c>
      <c r="E462" s="401" t="s">
        <v>2467</v>
      </c>
      <c r="F462" s="401" t="s">
        <v>2377</v>
      </c>
      <c r="G462" s="400" t="str">
        <f t="shared" si="10"/>
        <v>Capitale</v>
      </c>
    </row>
    <row r="463" spans="1:7" ht="13" x14ac:dyDescent="0.3">
      <c r="A463" s="426" t="s">
        <v>47</v>
      </c>
      <c r="B463" s="401" t="s">
        <v>2341</v>
      </c>
      <c r="C463" s="401" t="s">
        <v>2377</v>
      </c>
      <c r="D463" s="401" t="s">
        <v>2377</v>
      </c>
      <c r="E463" s="401" t="s">
        <v>2467</v>
      </c>
      <c r="F463" s="401" t="s">
        <v>2377</v>
      </c>
      <c r="G463" s="400" t="str">
        <f t="shared" si="10"/>
        <v>Capitale</v>
      </c>
    </row>
    <row r="464" spans="1:7" ht="21" customHeight="1" x14ac:dyDescent="0.3">
      <c r="A464" s="434" t="s">
        <v>366</v>
      </c>
      <c r="B464" s="401" t="s">
        <v>2778</v>
      </c>
      <c r="C464" s="401" t="s">
        <v>2382</v>
      </c>
      <c r="D464" s="401" t="s">
        <v>2426</v>
      </c>
      <c r="E464" s="401" t="s">
        <v>2472</v>
      </c>
      <c r="F464" s="401" t="s">
        <v>2519</v>
      </c>
      <c r="G464" s="400" t="str">
        <f t="shared" si="10"/>
        <v>Personalizzazione Calcolo tenuta oneri: Dati preimpostati per eventuale calcolo sostenibilità;</v>
      </c>
    </row>
    <row r="465" spans="1:7" ht="25" x14ac:dyDescent="0.25">
      <c r="A465" s="401" t="s">
        <v>149</v>
      </c>
      <c r="B465" s="401" t="s">
        <v>2779</v>
      </c>
      <c r="C465" s="401" t="s">
        <v>2383</v>
      </c>
      <c r="D465" s="401" t="s">
        <v>2427</v>
      </c>
      <c r="E465" s="401" t="s">
        <v>2473</v>
      </c>
      <c r="F465" s="401" t="s">
        <v>2520</v>
      </c>
      <c r="G465" s="400" t="str">
        <f t="shared" si="10"/>
        <v>Sviluppo debiti nel tempo senza risparmio proposto</v>
      </c>
    </row>
    <row r="466" spans="1:7" x14ac:dyDescent="0.25">
      <c r="A466" s="400" t="s">
        <v>143</v>
      </c>
      <c r="B466" s="401" t="s">
        <v>2346</v>
      </c>
      <c r="C466" s="401" t="s">
        <v>2384</v>
      </c>
      <c r="D466" s="401" t="s">
        <v>2428</v>
      </c>
      <c r="E466" s="401" t="s">
        <v>2474</v>
      </c>
      <c r="F466" s="401" t="s">
        <v>2521</v>
      </c>
      <c r="G466" s="400" t="str">
        <f t="shared" si="10"/>
        <v>Anno</v>
      </c>
    </row>
    <row r="467" spans="1:7" x14ac:dyDescent="0.25">
      <c r="A467" s="401" t="s">
        <v>150</v>
      </c>
      <c r="B467" s="401" t="s">
        <v>2780</v>
      </c>
      <c r="C467" s="401" t="s">
        <v>2385</v>
      </c>
      <c r="D467" s="401" t="s">
        <v>2429</v>
      </c>
      <c r="E467" s="401" t="s">
        <v>2475</v>
      </c>
      <c r="F467" s="401" t="s">
        <v>2522</v>
      </c>
      <c r="G467" s="400" t="str">
        <f t="shared" si="10"/>
        <v>Onere annuo leasing/debiti privati</v>
      </c>
    </row>
    <row r="468" spans="1:7" ht="25" x14ac:dyDescent="0.25">
      <c r="A468" s="401" t="s">
        <v>151</v>
      </c>
      <c r="B468" s="401" t="s">
        <v>2781</v>
      </c>
      <c r="C468" s="401" t="s">
        <v>2386</v>
      </c>
      <c r="D468" s="401" t="s">
        <v>2430</v>
      </c>
      <c r="E468" s="401" t="s">
        <v>2476</v>
      </c>
      <c r="F468" s="401" t="s">
        <v>2523</v>
      </c>
      <c r="G468" s="400" t="str">
        <f t="shared" si="10"/>
        <v>Sviluppo debiti nel tempo CON risparmio proposto</v>
      </c>
    </row>
    <row r="469" spans="1:7" ht="25" x14ac:dyDescent="0.25">
      <c r="A469" s="401" t="s">
        <v>146</v>
      </c>
      <c r="B469" s="401" t="s">
        <v>2782</v>
      </c>
      <c r="C469" s="401" t="s">
        <v>2387</v>
      </c>
      <c r="D469" s="401" t="s">
        <v>2431</v>
      </c>
      <c r="E469" s="401" t="s">
        <v>2477</v>
      </c>
      <c r="F469" s="401" t="s">
        <v>2524</v>
      </c>
      <c r="G469" s="400" t="str">
        <f t="shared" si="10"/>
        <v>Sviluppo reddito nel tempo situazione attuale</v>
      </c>
    </row>
    <row r="470" spans="1:7" x14ac:dyDescent="0.25">
      <c r="A470" s="401" t="s">
        <v>147</v>
      </c>
      <c r="B470" s="401" t="s">
        <v>2347</v>
      </c>
      <c r="C470" s="401" t="s">
        <v>2388</v>
      </c>
      <c r="D470" s="401" t="s">
        <v>2432</v>
      </c>
      <c r="E470" s="401" t="s">
        <v>2478</v>
      </c>
      <c r="F470" s="401" t="s">
        <v>2525</v>
      </c>
      <c r="G470" s="400" t="str">
        <f t="shared" si="10"/>
        <v>Sviluppo reddito</v>
      </c>
    </row>
    <row r="471" spans="1:7" ht="25" x14ac:dyDescent="0.25">
      <c r="A471" s="401" t="s">
        <v>148</v>
      </c>
      <c r="B471" s="401" t="s">
        <v>2783</v>
      </c>
      <c r="C471" s="401" t="s">
        <v>2389</v>
      </c>
      <c r="D471" s="401" t="s">
        <v>2433</v>
      </c>
      <c r="E471" s="401" t="s">
        <v>2479</v>
      </c>
      <c r="F471" s="401" t="s">
        <v>2526</v>
      </c>
      <c r="G471" s="400" t="str">
        <f t="shared" si="10"/>
        <v>Sviluppo reddito nel tempo situazione proposto</v>
      </c>
    </row>
    <row r="472" spans="1:7" ht="25" x14ac:dyDescent="0.25">
      <c r="A472" s="401" t="s">
        <v>142</v>
      </c>
      <c r="B472" s="401" t="s">
        <v>2784</v>
      </c>
      <c r="C472" s="401" t="s">
        <v>2390</v>
      </c>
      <c r="D472" s="401" t="s">
        <v>2434</v>
      </c>
      <c r="E472" s="401" t="s">
        <v>2480</v>
      </c>
      <c r="F472" s="401" t="s">
        <v>2527</v>
      </c>
      <c r="G472" s="400" t="str">
        <f t="shared" si="10"/>
        <v>Sviluppo risparmio nel tempo solo risparmio attuale</v>
      </c>
    </row>
    <row r="473" spans="1:7" x14ac:dyDescent="0.25">
      <c r="A473" s="401" t="s">
        <v>144</v>
      </c>
      <c r="B473" s="401" t="s">
        <v>2785</v>
      </c>
      <c r="C473" s="401" t="s">
        <v>2391</v>
      </c>
      <c r="D473" s="401" t="s">
        <v>2435</v>
      </c>
      <c r="E473" s="401" t="s">
        <v>2481</v>
      </c>
      <c r="F473" s="401" t="s">
        <v>2528</v>
      </c>
      <c r="G473" s="400" t="str">
        <f t="shared" si="10"/>
        <v>Sviluppo risparmio</v>
      </c>
    </row>
    <row r="474" spans="1:7" x14ac:dyDescent="0.25">
      <c r="A474" s="401" t="s">
        <v>145</v>
      </c>
      <c r="B474" s="401" t="s">
        <v>2786</v>
      </c>
      <c r="C474" s="401" t="s">
        <v>2392</v>
      </c>
      <c r="D474" s="401" t="s">
        <v>2436</v>
      </c>
      <c r="E474" s="401" t="s">
        <v>2482</v>
      </c>
      <c r="F474" s="401" t="s">
        <v>2529</v>
      </c>
      <c r="G474" s="400" t="str">
        <f t="shared" si="10"/>
        <v>Sviluppo risparmio nel tempo proposto</v>
      </c>
    </row>
    <row r="475" spans="1:7" ht="12.5" customHeight="1" x14ac:dyDescent="0.25">
      <c r="A475" s="401" t="s">
        <v>2530</v>
      </c>
      <c r="B475" s="401" t="s">
        <v>2787</v>
      </c>
      <c r="C475" s="401" t="s">
        <v>2531</v>
      </c>
      <c r="D475" s="401" t="s">
        <v>2533</v>
      </c>
      <c r="E475" s="401" t="s">
        <v>2535</v>
      </c>
      <c r="F475" s="401" t="s">
        <v>2537</v>
      </c>
      <c r="G475" s="400" t="str">
        <f t="shared" si="10"/>
        <v>Dati preimpostati per calcolo previdenziale</v>
      </c>
    </row>
    <row r="476" spans="1:7" ht="25" x14ac:dyDescent="0.25">
      <c r="A476" s="401" t="s">
        <v>283</v>
      </c>
      <c r="B476" s="401" t="s">
        <v>2788</v>
      </c>
      <c r="C476" s="401" t="s">
        <v>2532</v>
      </c>
      <c r="D476" s="401" t="s">
        <v>2534</v>
      </c>
      <c r="E476" s="401" t="s">
        <v>2536</v>
      </c>
      <c r="F476" s="401" t="s">
        <v>2538</v>
      </c>
      <c r="G476" s="400" t="str">
        <f t="shared" si="10"/>
        <v>Dati preimpostati per calcolo previdenziale partner</v>
      </c>
    </row>
    <row r="477" spans="1:7" x14ac:dyDescent="0.25">
      <c r="A477" s="400"/>
      <c r="B477" s="400"/>
      <c r="C477" s="400"/>
      <c r="D477" s="400"/>
      <c r="E477" s="400"/>
      <c r="F477" s="400"/>
      <c r="G477" s="400"/>
    </row>
    <row r="478" spans="1:7" x14ac:dyDescent="0.25">
      <c r="A478" s="400"/>
      <c r="B478" s="400"/>
      <c r="C478" s="400"/>
      <c r="D478" s="400"/>
      <c r="E478" s="400"/>
      <c r="F478" s="400"/>
      <c r="G478" s="400"/>
    </row>
    <row r="479" spans="1:7" x14ac:dyDescent="0.25">
      <c r="A479" s="400"/>
      <c r="B479" s="400"/>
      <c r="C479" s="400"/>
      <c r="D479" s="400"/>
      <c r="E479" s="400"/>
      <c r="F479" s="400"/>
      <c r="G479" s="400"/>
    </row>
    <row r="480" spans="1:7" x14ac:dyDescent="0.25">
      <c r="A480" s="400"/>
      <c r="B480" s="400"/>
      <c r="C480" s="400"/>
      <c r="D480" s="400"/>
      <c r="E480" s="400"/>
      <c r="F480" s="400"/>
      <c r="G480" s="400"/>
    </row>
    <row r="481" spans="1:7" x14ac:dyDescent="0.25">
      <c r="A481" s="400" t="s">
        <v>2541</v>
      </c>
      <c r="B481" s="400" t="s">
        <v>2544</v>
      </c>
      <c r="C481" s="400" t="s">
        <v>2541</v>
      </c>
      <c r="D481" s="400" t="s">
        <v>2541</v>
      </c>
      <c r="E481" s="400" t="s">
        <v>2541</v>
      </c>
      <c r="F481" s="400" t="s">
        <v>2541</v>
      </c>
      <c r="G481" s="400" t="str">
        <f t="shared" ref="G481:G492" si="11">IF($C$1="IT",A481,IF($C$1="DE",B481,IF($C$1="FR",C481,IF($C$1="PT",D481,IF($C$1="RU",E481,IF($C$1="EN",F481,A481))))))</f>
        <v>AVS</v>
      </c>
    </row>
    <row r="482" spans="1:7" x14ac:dyDescent="0.25">
      <c r="A482" s="400" t="s">
        <v>2542</v>
      </c>
      <c r="B482" s="400" t="s">
        <v>2545</v>
      </c>
      <c r="C482" s="400" t="s">
        <v>2542</v>
      </c>
      <c r="D482" s="400" t="s">
        <v>2542</v>
      </c>
      <c r="E482" s="400" t="s">
        <v>2542</v>
      </c>
      <c r="F482" s="400" t="s">
        <v>2542</v>
      </c>
      <c r="G482" s="400" t="str">
        <f t="shared" si="11"/>
        <v>AI</v>
      </c>
    </row>
    <row r="483" spans="1:7" x14ac:dyDescent="0.25">
      <c r="A483" s="400" t="s">
        <v>2543</v>
      </c>
      <c r="B483" s="400" t="s">
        <v>2553</v>
      </c>
      <c r="C483" s="400" t="s">
        <v>2547</v>
      </c>
      <c r="D483" s="400" t="s">
        <v>2543</v>
      </c>
      <c r="E483" s="400" t="s">
        <v>2543</v>
      </c>
      <c r="F483" s="400" t="s">
        <v>2543</v>
      </c>
      <c r="G483" s="400" t="str">
        <f t="shared" si="11"/>
        <v>LAINF</v>
      </c>
    </row>
    <row r="484" spans="1:7" x14ac:dyDescent="0.25">
      <c r="A484" s="400" t="s">
        <v>168</v>
      </c>
      <c r="B484" s="400" t="s">
        <v>2011</v>
      </c>
      <c r="C484" s="400" t="s">
        <v>168</v>
      </c>
      <c r="D484" s="400" t="s">
        <v>168</v>
      </c>
      <c r="E484" s="400" t="s">
        <v>168</v>
      </c>
      <c r="F484" s="400" t="s">
        <v>168</v>
      </c>
      <c r="G484" s="400" t="str">
        <f t="shared" si="11"/>
        <v>LPP</v>
      </c>
    </row>
    <row r="485" spans="1:7" x14ac:dyDescent="0.25">
      <c r="A485" s="400" t="s">
        <v>2549</v>
      </c>
      <c r="B485" s="400" t="s">
        <v>2546</v>
      </c>
      <c r="C485" s="401" t="s">
        <v>2548</v>
      </c>
      <c r="D485" s="401" t="s">
        <v>2550</v>
      </c>
      <c r="E485" s="401" t="s">
        <v>2551</v>
      </c>
      <c r="F485" s="401" t="s">
        <v>2552</v>
      </c>
      <c r="G485" s="400" t="str">
        <f t="shared" si="11"/>
        <v>Ind. giorn. Malattia</v>
      </c>
    </row>
    <row r="486" spans="1:7" x14ac:dyDescent="0.25">
      <c r="A486" s="400" t="s">
        <v>2625</v>
      </c>
      <c r="B486" s="401" t="s">
        <v>2620</v>
      </c>
      <c r="C486" s="401" t="s">
        <v>2621</v>
      </c>
      <c r="D486" s="401" t="s">
        <v>2622</v>
      </c>
      <c r="E486" s="401" t="s">
        <v>2623</v>
      </c>
      <c r="F486" s="401" t="s">
        <v>2624</v>
      </c>
      <c r="G486" s="400" t="str">
        <f t="shared" si="11"/>
        <v>Calcolo per</v>
      </c>
    </row>
    <row r="487" spans="1:7" x14ac:dyDescent="0.25">
      <c r="A487" s="400" t="s">
        <v>2554</v>
      </c>
      <c r="B487" s="401" t="s">
        <v>2557</v>
      </c>
      <c r="C487" s="401" t="s">
        <v>2560</v>
      </c>
      <c r="D487" s="401" t="s">
        <v>2563</v>
      </c>
      <c r="E487" s="401" t="s">
        <v>2566</v>
      </c>
      <c r="F487" s="401" t="s">
        <v>2569</v>
      </c>
      <c r="G487" s="400" t="str">
        <f t="shared" si="11"/>
        <v>Incapacità al guadagno per malattia</v>
      </c>
    </row>
    <row r="488" spans="1:7" x14ac:dyDescent="0.25">
      <c r="A488" s="400" t="s">
        <v>2555</v>
      </c>
      <c r="B488" s="401" t="s">
        <v>2558</v>
      </c>
      <c r="C488" s="401" t="s">
        <v>2561</v>
      </c>
      <c r="D488" s="401" t="s">
        <v>2564</v>
      </c>
      <c r="E488" s="401" t="s">
        <v>2567</v>
      </c>
      <c r="F488" s="401" t="s">
        <v>2570</v>
      </c>
      <c r="G488" s="400" t="str">
        <f t="shared" si="11"/>
        <v>Incapacità al guadagno per infortunio</v>
      </c>
    </row>
    <row r="489" spans="1:7" x14ac:dyDescent="0.25">
      <c r="A489" s="400" t="s">
        <v>2556</v>
      </c>
      <c r="B489" s="401" t="s">
        <v>2559</v>
      </c>
      <c r="C489" s="401" t="s">
        <v>2562</v>
      </c>
      <c r="D489" s="401" t="s">
        <v>2565</v>
      </c>
      <c r="E489" s="401" t="s">
        <v>2568</v>
      </c>
      <c r="F489" s="401" t="s">
        <v>2571</v>
      </c>
      <c r="G489" s="400" t="str">
        <f t="shared" si="11"/>
        <v>Rendite al pensionamento</v>
      </c>
    </row>
    <row r="490" spans="1:7" x14ac:dyDescent="0.25">
      <c r="A490" s="400"/>
      <c r="B490" s="400"/>
      <c r="C490" s="400"/>
      <c r="D490" s="400"/>
      <c r="E490" s="400"/>
      <c r="F490" s="400"/>
      <c r="G490" s="400">
        <f t="shared" si="11"/>
        <v>0</v>
      </c>
    </row>
    <row r="491" spans="1:7" x14ac:dyDescent="0.25">
      <c r="A491" s="401" t="s">
        <v>2601</v>
      </c>
      <c r="B491" s="401" t="s">
        <v>2578</v>
      </c>
      <c r="C491" s="401" t="s">
        <v>2603</v>
      </c>
      <c r="D491" s="401" t="s">
        <v>2605</v>
      </c>
      <c r="E491" s="401" t="s">
        <v>2607</v>
      </c>
      <c r="F491" s="401" t="s">
        <v>2609</v>
      </c>
      <c r="G491" s="400" t="str">
        <f t="shared" si="11"/>
        <v>SITUAZIONE SENZA OTTIMIZZAZIONE</v>
      </c>
    </row>
    <row r="492" spans="1:7" x14ac:dyDescent="0.25">
      <c r="A492" s="401" t="s">
        <v>2602</v>
      </c>
      <c r="B492" s="401" t="s">
        <v>2579</v>
      </c>
      <c r="C492" s="401" t="s">
        <v>2604</v>
      </c>
      <c r="D492" s="401" t="s">
        <v>2606</v>
      </c>
      <c r="E492" s="401" t="s">
        <v>2608</v>
      </c>
      <c r="F492" s="401" t="s">
        <v>2610</v>
      </c>
      <c r="G492" s="400" t="str">
        <f t="shared" si="11"/>
        <v>SITUAZIONE DOPO OTTIMIZZAZIONE</v>
      </c>
    </row>
    <row r="493" spans="1:7" x14ac:dyDescent="0.25">
      <c r="A493" s="401" t="s">
        <v>2581</v>
      </c>
      <c r="B493" s="401" t="s">
        <v>2580</v>
      </c>
      <c r="C493" s="401" t="s">
        <v>2582</v>
      </c>
      <c r="D493" s="401" t="s">
        <v>2583</v>
      </c>
      <c r="E493" s="401" t="s">
        <v>2590</v>
      </c>
      <c r="F493" s="401" t="s">
        <v>2584</v>
      </c>
      <c r="G493" s="400" t="str">
        <f t="shared" ref="G493" si="12">IF($C$1="IT",A493,IF($C$1="DE",B493,IF($C$1="FR",C493,IF($C$1="PT",D493,IF($C$1="RU",E493,IF($C$1="EN",F493,A493))))))</f>
        <v>Rend. suppl. AI figli</v>
      </c>
    </row>
    <row r="494" spans="1:7" x14ac:dyDescent="0.25">
      <c r="A494" s="401" t="s">
        <v>2585</v>
      </c>
      <c r="B494" s="401" t="s">
        <v>2586</v>
      </c>
      <c r="C494" s="401" t="s">
        <v>2587</v>
      </c>
      <c r="D494" s="401" t="s">
        <v>2588</v>
      </c>
      <c r="E494" s="401" t="s">
        <v>2589</v>
      </c>
      <c r="F494" s="401" t="s">
        <v>2584</v>
      </c>
      <c r="G494" s="400" t="str">
        <f t="shared" ref="G494:G498" si="13">IF($C$1="IT",A494,IF($C$1="DE",B494,IF($C$1="FR",C494,IF($C$1="PT",D494,IF($C$1="RU",E494,IF($C$1="EN",F494,A494))))))</f>
        <v>Rend. suppl. LPP figli</v>
      </c>
    </row>
    <row r="495" spans="1:7" x14ac:dyDescent="0.25">
      <c r="A495" s="400" t="s">
        <v>3702</v>
      </c>
      <c r="B495" s="401" t="s">
        <v>2611</v>
      </c>
      <c r="C495" s="401" t="s">
        <v>2612</v>
      </c>
      <c r="D495" s="401" t="s">
        <v>2613</v>
      </c>
      <c r="E495" s="401" t="s">
        <v>2614</v>
      </c>
      <c r="F495" s="401" t="s">
        <v>2615</v>
      </c>
      <c r="G495" s="400" t="str">
        <f t="shared" si="13"/>
        <v>Consulente</v>
      </c>
    </row>
    <row r="496" spans="1:7" x14ac:dyDescent="0.25">
      <c r="A496" s="401" t="s">
        <v>2616</v>
      </c>
      <c r="B496" s="401" t="s">
        <v>2629</v>
      </c>
      <c r="C496" s="401" t="s">
        <v>2630</v>
      </c>
      <c r="D496" s="401" t="s">
        <v>2631</v>
      </c>
      <c r="E496" s="401" t="s">
        <v>2632</v>
      </c>
      <c r="F496" s="401" t="s">
        <v>2633</v>
      </c>
      <c r="G496" s="400" t="str">
        <f t="shared" si="13"/>
        <v>Rend. suppl. AVS figli</v>
      </c>
    </row>
    <row r="497" spans="1:7" x14ac:dyDescent="0.25">
      <c r="A497" s="401" t="str">
        <f>"Rendite superstiti dec. x mal. Di "&amp;ANALYSIS!B19</f>
        <v xml:space="preserve">Rendite superstiti dec. x mal. Di </v>
      </c>
      <c r="B497" s="401" t="str">
        <f>"Hinterbl.-Renten: T. durch Krank. Von "&amp;ANALYSIS!B19</f>
        <v xml:space="preserve">Hinterbl.-Renten: T. durch Krank. Von </v>
      </c>
      <c r="C497" s="401" t="str">
        <f>"Rentes de surviv.: d. dû à maladie de "&amp;ANALYSIS!B19</f>
        <v xml:space="preserve">Rentes de surviv.: d. dû à maladie de </v>
      </c>
      <c r="D497" s="401" t="str">
        <f>"Rend. para sobreviv. fal. por doença de "&amp;ANALYSIS!B19</f>
        <v xml:space="preserve">Rend. para sobreviv. fal. por doença de </v>
      </c>
      <c r="E497" s="401" t="str">
        <f>"Пособия для переж.: с. из-за болез. "&amp;ANALYSIS!B19</f>
        <v xml:space="preserve">Пособия для переж.: с. из-за болез. </v>
      </c>
      <c r="F497" s="401" t="str">
        <f>"Survivors' benefits: d. due to ill. of "&amp;ANALYSIS!B19</f>
        <v xml:space="preserve">Survivors' benefits: d. due to ill. of </v>
      </c>
      <c r="G497" s="400" t="str">
        <f t="shared" si="13"/>
        <v xml:space="preserve">Rendite superstiti dec. x mal. Di </v>
      </c>
    </row>
    <row r="498" spans="1:7" ht="25" x14ac:dyDescent="0.25">
      <c r="A498" s="400" t="str">
        <f>A260&amp;" "&amp;ANALYSIS!$B$19</f>
        <v xml:space="preserve">Previdenza per la Vecchiaia </v>
      </c>
      <c r="B498" s="400" t="str">
        <f>B260&amp;" "&amp;ANALYSIS!$B$19</f>
        <v xml:space="preserve">Altersvorsorge </v>
      </c>
      <c r="C498" s="400" t="str">
        <f>C260&amp;" "&amp;ANALYSIS!$B$19</f>
        <v xml:space="preserve">Prévoyance pour la Retraite </v>
      </c>
      <c r="D498" s="400" t="str">
        <f>D260&amp;" "&amp;ANALYSIS!$B$19</f>
        <v xml:space="preserve">Previdenza per la Vecchiaia </v>
      </c>
      <c r="E498" s="400" t="str">
        <f>E260&amp;" "&amp;ANALYSIS!$B$19</f>
        <v xml:space="preserve">Пенсионное обеспечение для старости </v>
      </c>
      <c r="F498" s="400" t="str">
        <f>F260&amp;" "&amp;ANALYSIS!$B$19</f>
        <v xml:space="preserve">Retirement Planning </v>
      </c>
      <c r="G498" s="400" t="str">
        <f t="shared" si="13"/>
        <v xml:space="preserve">Previdenza per la Vecchiaia </v>
      </c>
    </row>
    <row r="499" spans="1:7" ht="25" x14ac:dyDescent="0.25">
      <c r="A499" s="400" t="str">
        <f>A260&amp;" "&amp;ANALYSIS!$C$19</f>
        <v xml:space="preserve">Previdenza per la Vecchiaia </v>
      </c>
      <c r="B499" s="400" t="str">
        <f>B260&amp;" "&amp;ANALYSIS!$C$19</f>
        <v xml:space="preserve">Altersvorsorge </v>
      </c>
      <c r="C499" s="400" t="str">
        <f>C260&amp;" "&amp;ANALYSIS!$C$19</f>
        <v xml:space="preserve">Prévoyance pour la Retraite </v>
      </c>
      <c r="D499" s="400" t="str">
        <f>D260&amp;" "&amp;ANALYSIS!$C$19</f>
        <v xml:space="preserve">Previdenza per la Vecchiaia </v>
      </c>
      <c r="E499" s="400" t="str">
        <f>E260&amp;" "&amp;ANALYSIS!$C$19</f>
        <v xml:space="preserve">Пенсионное обеспечение для старости </v>
      </c>
      <c r="F499" s="400" t="str">
        <f>F260&amp;" "&amp;ANALYSIS!$C$19</f>
        <v xml:space="preserve">Retirement Planning </v>
      </c>
      <c r="G499" s="400" t="str">
        <f t="shared" ref="G499:G557" si="14">IF($C$1="IT",A499,IF($C$1="DE",B499,IF($C$1="FR",C499,IF($C$1="PT",D499,IF($C$1="RU",E499,IF($C$1="EN",F499,A499))))))</f>
        <v xml:space="preserve">Previdenza per la Vecchiaia </v>
      </c>
    </row>
    <row r="500" spans="1:7" ht="28.5" customHeight="1" x14ac:dyDescent="0.25">
      <c r="A500" s="401" t="str">
        <f>"Rendite superstiti dec. x mal. Di "&amp;ANALYSIS!C19</f>
        <v xml:space="preserve">Rendite superstiti dec. x mal. Di </v>
      </c>
      <c r="B500" s="401" t="str">
        <f>"Hinterbl.-Renten: T. durch Krank. Von "&amp;ANALYSIS!C19</f>
        <v xml:space="preserve">Hinterbl.-Renten: T. durch Krank. Von </v>
      </c>
      <c r="C500" s="401" t="str">
        <f>"Rentes de surviv.: d. dû à maladie de "&amp;ANALYSIS!C19</f>
        <v xml:space="preserve">Rentes de surviv.: d. dû à maladie de </v>
      </c>
      <c r="D500" s="401" t="str">
        <f>"Rend. para sobreviv. fal. por doença de "&amp;ANALYSIS!C19</f>
        <v xml:space="preserve">Rend. para sobreviv. fal. por doença de </v>
      </c>
      <c r="E500" s="401" t="str">
        <f>"Пособия для переж.: с. из-за болез. "&amp;ANALYSIS!C19</f>
        <v xml:space="preserve">Пособия для переж.: с. из-за болез. </v>
      </c>
      <c r="F500" s="401" t="str">
        <f>"Survivors' benefits: d. due to ill. of "&amp;ANALYSIS!C19</f>
        <v xml:space="preserve">Survivors' benefits: d. due to ill. of </v>
      </c>
      <c r="G500" s="400" t="str">
        <f t="shared" si="14"/>
        <v xml:space="preserve">Rendite superstiti dec. x mal. Di </v>
      </c>
    </row>
    <row r="501" spans="1:7" x14ac:dyDescent="0.25">
      <c r="A501" s="400"/>
      <c r="B501" s="400"/>
      <c r="C501" s="400"/>
      <c r="D501" s="400"/>
      <c r="E501" s="400"/>
      <c r="F501" s="400"/>
      <c r="G501" s="400">
        <f t="shared" si="14"/>
        <v>0</v>
      </c>
    </row>
    <row r="502" spans="1:7" x14ac:dyDescent="0.25">
      <c r="A502" s="401" t="str">
        <f>"Rendite superstiti dec. x inf. Di "&amp;ANALYSIS!B19</f>
        <v xml:space="preserve">Rendite superstiti dec. x inf. Di </v>
      </c>
      <c r="B502" s="401" t="str">
        <f>"Hinterbl.-Renten: T. durch Unfall Von "&amp;ANALYSIS!B19</f>
        <v xml:space="preserve">Hinterbl.-Renten: T. durch Unfall Von </v>
      </c>
      <c r="C502" s="401" t="str">
        <f>"Rentes de surviv.: d. dû à accid. de "&amp;ANALYSIS!B19</f>
        <v xml:space="preserve">Rentes de surviv.: d. dû à accid. de </v>
      </c>
      <c r="D502" s="401" t="str">
        <f>"Rend. para sobreviv. fal. por acid. de "&amp;ANALYSIS!B19</f>
        <v xml:space="preserve">Rend. para sobreviv. fal. por acid. de </v>
      </c>
      <c r="E502" s="401" t="str">
        <f>"Пособия для переж.: с. из-за Несч. Сл. "&amp;ANALYSIS!B19</f>
        <v xml:space="preserve">Пособия для переж.: с. из-за Несч. Сл. </v>
      </c>
      <c r="F502" s="401" t="str">
        <f>"Survivors' benefits: d. due to acc. of "&amp;ANALYSIS!B19</f>
        <v xml:space="preserve">Survivors' benefits: d. due to acc. of </v>
      </c>
      <c r="G502" s="400" t="str">
        <f t="shared" si="14"/>
        <v xml:space="preserve">Rendite superstiti dec. x inf. Di </v>
      </c>
    </row>
    <row r="503" spans="1:7" x14ac:dyDescent="0.25">
      <c r="A503" s="401" t="str">
        <f>"Rendite superstiti dec. x inf. Di "&amp;ANALYSIS!C19</f>
        <v xml:space="preserve">Rendite superstiti dec. x inf. Di </v>
      </c>
      <c r="B503" s="401" t="str">
        <f>"Hinterbl.-Renten: T. durch Unfall Von "&amp;ANALYSIS!C19</f>
        <v xml:space="preserve">Hinterbl.-Renten: T. durch Unfall Von </v>
      </c>
      <c r="C503" s="401" t="str">
        <f>"Rentes de surviv.: d. dû à accid. de "&amp;ANALYSIS!C19</f>
        <v xml:space="preserve">Rentes de surviv.: d. dû à accid. de </v>
      </c>
      <c r="D503" s="401" t="str">
        <f>"Rend. para sobreviv. fal. por acid. de "&amp;ANALYSIS!C19</f>
        <v xml:space="preserve">Rend. para sobreviv. fal. por acid. de </v>
      </c>
      <c r="E503" s="401" t="str">
        <f>"Пособия для переж.: с. из-за Несч. Сл. "&amp;ANALYSIS!C19</f>
        <v xml:space="preserve">Пособия для переж.: с. из-за Несч. Сл. </v>
      </c>
      <c r="F503" s="401" t="str">
        <f>"Survivors' benefits: d. due to acc. of "&amp;ANALYSIS!C19</f>
        <v xml:space="preserve">Survivors' benefits: d. due to acc. of </v>
      </c>
      <c r="G503" s="400" t="str">
        <f t="shared" si="14"/>
        <v xml:space="preserve">Rendite superstiti dec. x inf. Di </v>
      </c>
    </row>
    <row r="504" spans="1:7" x14ac:dyDescent="0.25">
      <c r="A504" s="400"/>
      <c r="B504" s="400"/>
      <c r="C504" s="400"/>
      <c r="D504" s="400"/>
      <c r="E504" s="400"/>
      <c r="F504" s="400"/>
      <c r="G504" s="400">
        <f t="shared" si="14"/>
        <v>0</v>
      </c>
    </row>
    <row r="505" spans="1:7" x14ac:dyDescent="0.25">
      <c r="A505" t="s">
        <v>2807</v>
      </c>
      <c r="B505" t="s">
        <v>2808</v>
      </c>
      <c r="C505" t="s">
        <v>2809</v>
      </c>
      <c r="D505" t="s">
        <v>2810</v>
      </c>
      <c r="E505" t="s">
        <v>2811</v>
      </c>
      <c r="F505" t="s">
        <v>2812</v>
      </c>
      <c r="G505" s="400" t="str">
        <f t="shared" si="14"/>
        <v>Profilo Previdenziale</v>
      </c>
    </row>
    <row r="506" spans="1:7" x14ac:dyDescent="0.25">
      <c r="A506" s="90" t="s">
        <v>2875</v>
      </c>
      <c r="B506" t="s">
        <v>2815</v>
      </c>
      <c r="C506" t="s">
        <v>2817</v>
      </c>
      <c r="D506" t="s">
        <v>2827</v>
      </c>
      <c r="E506" t="s">
        <v>2837</v>
      </c>
      <c r="F506" t="s">
        <v>2847</v>
      </c>
      <c r="G506" s="400" t="str">
        <f t="shared" si="14"/>
        <v>Pens. con split.</v>
      </c>
    </row>
    <row r="507" spans="1:7" x14ac:dyDescent="0.25">
      <c r="A507" s="90" t="s">
        <v>2876</v>
      </c>
      <c r="B507" t="s">
        <v>2816</v>
      </c>
      <c r="C507" t="s">
        <v>2818</v>
      </c>
      <c r="D507" t="s">
        <v>2828</v>
      </c>
      <c r="E507" t="s">
        <v>2838</v>
      </c>
      <c r="F507" t="s">
        <v>2848</v>
      </c>
      <c r="G507" s="400" t="str">
        <f t="shared" si="14"/>
        <v>Pens. senza split.</v>
      </c>
    </row>
    <row r="508" spans="1:7" x14ac:dyDescent="0.25">
      <c r="A508" s="90" t="s">
        <v>2813</v>
      </c>
      <c r="B508" t="s">
        <v>2883</v>
      </c>
      <c r="C508" t="s">
        <v>2819</v>
      </c>
      <c r="D508" t="s">
        <v>2829</v>
      </c>
      <c r="E508" t="s">
        <v>2839</v>
      </c>
      <c r="F508" t="s">
        <v>2849</v>
      </c>
      <c r="G508" s="400" t="str">
        <f t="shared" si="14"/>
        <v>IG Inf. 720. gg</v>
      </c>
    </row>
    <row r="509" spans="1:7" x14ac:dyDescent="0.25">
      <c r="A509" s="90" t="s">
        <v>2814</v>
      </c>
      <c r="B509" t="s">
        <v>2884</v>
      </c>
      <c r="C509" t="s">
        <v>2820</v>
      </c>
      <c r="D509" t="s">
        <v>2830</v>
      </c>
      <c r="E509" t="s">
        <v>2840</v>
      </c>
      <c r="F509" t="s">
        <v>2850</v>
      </c>
      <c r="G509" s="400" t="str">
        <f t="shared" si="14"/>
        <v>IG Mal. 720.gg.</v>
      </c>
    </row>
    <row r="510" spans="1:7" x14ac:dyDescent="0.25">
      <c r="A510" s="400" t="s">
        <v>2877</v>
      </c>
      <c r="B510" t="s">
        <v>2885</v>
      </c>
      <c r="C510" t="s">
        <v>2821</v>
      </c>
      <c r="D510" t="s">
        <v>2831</v>
      </c>
      <c r="E510" t="s">
        <v>2841</v>
      </c>
      <c r="F510" t="s">
        <v>2851</v>
      </c>
      <c r="G510" s="400" t="str">
        <f t="shared" si="14"/>
        <v>Inv. Mal. con figli</v>
      </c>
    </row>
    <row r="511" spans="1:7" x14ac:dyDescent="0.25">
      <c r="A511" s="400" t="s">
        <v>2878</v>
      </c>
      <c r="B511" t="s">
        <v>2886</v>
      </c>
      <c r="C511" t="s">
        <v>2822</v>
      </c>
      <c r="D511" t="s">
        <v>2832</v>
      </c>
      <c r="E511" t="s">
        <v>2842</v>
      </c>
      <c r="F511" t="s">
        <v>2852</v>
      </c>
      <c r="G511" s="400" t="str">
        <f t="shared" si="14"/>
        <v>Inv. Mal. senza figli</v>
      </c>
    </row>
    <row r="512" spans="1:7" x14ac:dyDescent="0.25">
      <c r="A512" s="400" t="s">
        <v>2879</v>
      </c>
      <c r="B512" t="s">
        <v>447</v>
      </c>
      <c r="C512" t="s">
        <v>2823</v>
      </c>
      <c r="D512" t="s">
        <v>2833</v>
      </c>
      <c r="E512" t="s">
        <v>2843</v>
      </c>
      <c r="F512" t="s">
        <v>2853</v>
      </c>
      <c r="G512" s="400" t="str">
        <f t="shared" si="14"/>
        <v>Inv. per Inf.</v>
      </c>
    </row>
    <row r="513" spans="1:7" x14ac:dyDescent="0.25">
      <c r="A513" s="90" t="s">
        <v>2880</v>
      </c>
      <c r="B513" t="s">
        <v>2887</v>
      </c>
      <c r="C513" t="s">
        <v>2824</v>
      </c>
      <c r="D513" t="s">
        <v>2834</v>
      </c>
      <c r="E513" t="s">
        <v>2844</v>
      </c>
      <c r="F513" t="s">
        <v>2854</v>
      </c>
      <c r="G513" s="400" t="str">
        <f t="shared" si="14"/>
        <v>Vedov. Mal. con figli</v>
      </c>
    </row>
    <row r="514" spans="1:7" x14ac:dyDescent="0.25">
      <c r="A514" s="90" t="s">
        <v>2881</v>
      </c>
      <c r="B514" t="s">
        <v>2888</v>
      </c>
      <c r="C514" t="s">
        <v>2825</v>
      </c>
      <c r="D514" t="s">
        <v>2835</v>
      </c>
      <c r="E514" t="s">
        <v>2845</v>
      </c>
      <c r="F514" t="s">
        <v>2855</v>
      </c>
      <c r="G514" s="400" t="str">
        <f t="shared" si="14"/>
        <v>Vedov. Mal. senza figli</v>
      </c>
    </row>
    <row r="515" spans="1:7" x14ac:dyDescent="0.25">
      <c r="A515" s="90" t="s">
        <v>2882</v>
      </c>
      <c r="B515" t="s">
        <v>2889</v>
      </c>
      <c r="C515" t="s">
        <v>2826</v>
      </c>
      <c r="D515" t="s">
        <v>2836</v>
      </c>
      <c r="E515" t="s">
        <v>2846</v>
      </c>
      <c r="F515" t="s">
        <v>2856</v>
      </c>
      <c r="G515" s="400" t="str">
        <f t="shared" si="14"/>
        <v>Vedov. Inf. con figli</v>
      </c>
    </row>
    <row r="516" spans="1:7" x14ac:dyDescent="0.25">
      <c r="A516" s="90" t="s">
        <v>2874</v>
      </c>
      <c r="B516" t="s">
        <v>2869</v>
      </c>
      <c r="C516" t="s">
        <v>2870</v>
      </c>
      <c r="D516" t="s">
        <v>2871</v>
      </c>
      <c r="E516" t="s">
        <v>2872</v>
      </c>
      <c r="F516" t="s">
        <v>2873</v>
      </c>
      <c r="G516" s="400" t="str">
        <f t="shared" si="14"/>
        <v>Vedov. Inf. senza figli</v>
      </c>
    </row>
    <row r="517" spans="1:7" x14ac:dyDescent="0.25">
      <c r="A517" s="90" t="s">
        <v>2857</v>
      </c>
      <c r="B517" t="s">
        <v>2859</v>
      </c>
      <c r="C517" t="s">
        <v>2861</v>
      </c>
      <c r="D517" t="s">
        <v>2863</v>
      </c>
      <c r="E517" t="s">
        <v>2865</v>
      </c>
      <c r="F517" t="s">
        <v>2867</v>
      </c>
      <c r="G517" s="400" t="str">
        <f t="shared" si="14"/>
        <v>COPERTURE</v>
      </c>
    </row>
    <row r="518" spans="1:7" x14ac:dyDescent="0.25">
      <c r="A518" s="90" t="s">
        <v>2858</v>
      </c>
      <c r="B518" t="s">
        <v>2860</v>
      </c>
      <c r="C518" t="s">
        <v>2862</v>
      </c>
      <c r="D518" t="s">
        <v>2864</v>
      </c>
      <c r="E518" t="s">
        <v>2866</v>
      </c>
      <c r="F518" t="s">
        <v>2868</v>
      </c>
      <c r="G518" s="400" t="str">
        <f t="shared" si="14"/>
        <v>LACUNE</v>
      </c>
    </row>
    <row r="520" spans="1:7" ht="25" x14ac:dyDescent="0.25">
      <c r="A520" s="90" t="s">
        <v>2890</v>
      </c>
      <c r="B520" s="90" t="s">
        <v>2891</v>
      </c>
      <c r="C520" t="s">
        <v>2892</v>
      </c>
      <c r="D520" t="s">
        <v>2893</v>
      </c>
      <c r="E520" t="s">
        <v>2894</v>
      </c>
      <c r="F520" t="s">
        <v>2895</v>
      </c>
      <c r="G520" s="400" t="str">
        <f t="shared" si="14"/>
        <v>Terzi pilastri e investimenti attuali: società, premi, investimenti</v>
      </c>
    </row>
    <row r="521" spans="1:7" ht="13" x14ac:dyDescent="0.3">
      <c r="A521" s="90" t="s">
        <v>2901</v>
      </c>
      <c r="B521" s="42" t="s">
        <v>3091</v>
      </c>
      <c r="C521" s="42" t="s">
        <v>3109</v>
      </c>
      <c r="D521" s="42" t="s">
        <v>3127</v>
      </c>
      <c r="E521" s="42" t="s">
        <v>3145</v>
      </c>
      <c r="F521" s="42" t="s">
        <v>3163</v>
      </c>
      <c r="G521" s="400" t="str">
        <f t="shared" si="14"/>
        <v>FINANZIAMENTO</v>
      </c>
    </row>
    <row r="522" spans="1:7" ht="26" thickBot="1" x14ac:dyDescent="0.35">
      <c r="A522" s="90" t="s">
        <v>2919</v>
      </c>
      <c r="B522" s="42" t="s">
        <v>3092</v>
      </c>
      <c r="C522" s="42" t="s">
        <v>3110</v>
      </c>
      <c r="D522" s="42" t="s">
        <v>3128</v>
      </c>
      <c r="E522" s="42" t="s">
        <v>3146</v>
      </c>
      <c r="F522" s="42" t="s">
        <v>3164</v>
      </c>
      <c r="G522" s="400" t="str">
        <f t="shared" si="14"/>
        <v>SIOSTENIBILITÀ IPOTECA IN CASO DI DECESSO</v>
      </c>
    </row>
    <row r="523" spans="1:7" x14ac:dyDescent="0.25">
      <c r="A523" s="193" t="s">
        <v>2902</v>
      </c>
      <c r="B523" t="s">
        <v>3093</v>
      </c>
      <c r="C523" t="s">
        <v>3111</v>
      </c>
      <c r="D523" t="s">
        <v>3129</v>
      </c>
      <c r="E523" t="s">
        <v>3147</v>
      </c>
      <c r="F523" t="s">
        <v>3165</v>
      </c>
      <c r="G523" s="400" t="str">
        <f t="shared" si="14"/>
        <v>Importo annuo ammortamento</v>
      </c>
    </row>
    <row r="524" spans="1:7" x14ac:dyDescent="0.25">
      <c r="A524" s="90" t="s">
        <v>2903</v>
      </c>
      <c r="B524" t="s">
        <v>3094</v>
      </c>
      <c r="C524" t="s">
        <v>3112</v>
      </c>
      <c r="D524" t="s">
        <v>3130</v>
      </c>
      <c r="E524" t="s">
        <v>3148</v>
      </c>
      <c r="F524" t="s">
        <v>3166</v>
      </c>
      <c r="G524" s="400" t="str">
        <f t="shared" si="14"/>
        <v>Valore dell'immobile</v>
      </c>
    </row>
    <row r="525" spans="1:7" x14ac:dyDescent="0.25">
      <c r="A525" s="90" t="s">
        <v>2906</v>
      </c>
      <c r="B525" t="s">
        <v>3095</v>
      </c>
      <c r="C525" t="s">
        <v>3113</v>
      </c>
      <c r="D525" t="s">
        <v>3131</v>
      </c>
      <c r="E525" t="s">
        <v>3149</v>
      </c>
      <c r="F525" t="s">
        <v>3167</v>
      </c>
      <c r="G525" s="400" t="str">
        <f t="shared" si="14"/>
        <v>Ipoteca attuale</v>
      </c>
    </row>
    <row r="526" spans="1:7" x14ac:dyDescent="0.25">
      <c r="A526" s="90" t="s">
        <v>2904</v>
      </c>
      <c r="B526" t="s">
        <v>3096</v>
      </c>
      <c r="C526" t="s">
        <v>3114</v>
      </c>
      <c r="D526" t="s">
        <v>3132</v>
      </c>
      <c r="E526" t="s">
        <v>3150</v>
      </c>
      <c r="F526" t="s">
        <v>3168</v>
      </c>
      <c r="G526" s="400" t="str">
        <f t="shared" si="14"/>
        <v>Sostenibilità attuale</v>
      </c>
    </row>
    <row r="527" spans="1:7" x14ac:dyDescent="0.25">
      <c r="A527" s="90" t="s">
        <v>2905</v>
      </c>
      <c r="B527" t="s">
        <v>3097</v>
      </c>
      <c r="C527" t="s">
        <v>3115</v>
      </c>
      <c r="D527" t="s">
        <v>3133</v>
      </c>
      <c r="E527" t="s">
        <v>3151</v>
      </c>
      <c r="F527" t="s">
        <v>3169</v>
      </c>
      <c r="G527" s="400" t="str">
        <f t="shared" si="14"/>
        <v>Sostenibilità alla pensione</v>
      </c>
    </row>
    <row r="528" spans="1:7" ht="13" x14ac:dyDescent="0.3">
      <c r="A528" s="90" t="s">
        <v>2921</v>
      </c>
      <c r="B528" s="42" t="s">
        <v>3098</v>
      </c>
      <c r="C528" s="42" t="s">
        <v>3116</v>
      </c>
      <c r="D528" s="42" t="s">
        <v>3134</v>
      </c>
      <c r="E528" s="42" t="s">
        <v>3152</v>
      </c>
      <c r="F528" s="42" t="s">
        <v>3170</v>
      </c>
      <c r="G528" s="400" t="str">
        <f t="shared" si="14"/>
        <v xml:space="preserve">SOSTENIBILITÀ IN CASO DI DECESSO DI </v>
      </c>
    </row>
    <row r="529" spans="1:7" x14ac:dyDescent="0.25">
      <c r="A529" s="90" t="s">
        <v>2907</v>
      </c>
      <c r="B529" t="s">
        <v>3099</v>
      </c>
      <c r="C529" t="s">
        <v>3117</v>
      </c>
      <c r="D529" t="s">
        <v>3135</v>
      </c>
      <c r="E529" t="s">
        <v>3153</v>
      </c>
      <c r="F529" t="s">
        <v>3171</v>
      </c>
      <c r="G529" s="400" t="str">
        <f t="shared" si="14"/>
        <v>Redditi attuali</v>
      </c>
    </row>
    <row r="530" spans="1:7" x14ac:dyDescent="0.25">
      <c r="A530" s="90" t="s">
        <v>2908</v>
      </c>
      <c r="B530" t="s">
        <v>3100</v>
      </c>
      <c r="C530" t="s">
        <v>3118</v>
      </c>
      <c r="D530" t="s">
        <v>3136</v>
      </c>
      <c r="E530" t="s">
        <v>3154</v>
      </c>
      <c r="F530" t="s">
        <v>3172</v>
      </c>
      <c r="G530" s="400" t="str">
        <f t="shared" si="14"/>
        <v>Reddito di</v>
      </c>
    </row>
    <row r="531" spans="1:7" x14ac:dyDescent="0.25">
      <c r="A531" s="90" t="s">
        <v>2909</v>
      </c>
      <c r="B531" t="s">
        <v>3101</v>
      </c>
      <c r="C531" t="s">
        <v>3119</v>
      </c>
      <c r="D531" t="s">
        <v>3137</v>
      </c>
      <c r="E531" t="s">
        <v>3155</v>
      </c>
      <c r="F531" t="s">
        <v>3173</v>
      </c>
      <c r="G531" s="400" t="str">
        <f t="shared" si="14"/>
        <v>Rendita vedovanza per</v>
      </c>
    </row>
    <row r="532" spans="1:7" ht="13" x14ac:dyDescent="0.3">
      <c r="A532" s="90" t="s">
        <v>2920</v>
      </c>
      <c r="B532" s="42" t="s">
        <v>3102</v>
      </c>
      <c r="C532" s="42" t="s">
        <v>3120</v>
      </c>
      <c r="D532" s="42" t="s">
        <v>3138</v>
      </c>
      <c r="E532" s="42" t="s">
        <v>3156</v>
      </c>
      <c r="F532" s="42" t="s">
        <v>3174</v>
      </c>
      <c r="G532" s="400" t="str">
        <f t="shared" si="14"/>
        <v>VARIABILI SITUAZIONE REDDITUALE</v>
      </c>
    </row>
    <row r="533" spans="1:7" ht="25" x14ac:dyDescent="0.25">
      <c r="A533" s="90" t="s">
        <v>2910</v>
      </c>
      <c r="B533" t="s">
        <v>3103</v>
      </c>
      <c r="C533" t="s">
        <v>3121</v>
      </c>
      <c r="D533" t="s">
        <v>3139</v>
      </c>
      <c r="E533" t="s">
        <v>3157</v>
      </c>
      <c r="F533" t="s">
        <v>3175</v>
      </c>
      <c r="G533" s="400" t="str">
        <f t="shared" si="14"/>
        <v>Capitali necessari per assicurare sostenibilità di</v>
      </c>
    </row>
    <row r="534" spans="1:7" x14ac:dyDescent="0.25">
      <c r="A534" s="90" t="s">
        <v>2929</v>
      </c>
      <c r="B534" t="s">
        <v>3104</v>
      </c>
      <c r="C534" t="s">
        <v>3122</v>
      </c>
      <c r="D534" t="s">
        <v>3140</v>
      </c>
      <c r="E534" t="s">
        <v>3158</v>
      </c>
      <c r="F534" t="s">
        <v>3176</v>
      </c>
      <c r="G534" s="400" t="str">
        <f t="shared" si="14"/>
        <v xml:space="preserve">Cap. da Ass. in caso di decesso di: </v>
      </c>
    </row>
    <row r="535" spans="1:7" x14ac:dyDescent="0.25">
      <c r="A535" s="90" t="s">
        <v>2906</v>
      </c>
      <c r="B535" t="s">
        <v>3095</v>
      </c>
      <c r="C535" t="s">
        <v>3113</v>
      </c>
      <c r="D535" t="s">
        <v>3131</v>
      </c>
      <c r="E535" t="s">
        <v>3149</v>
      </c>
      <c r="F535" t="s">
        <v>3167</v>
      </c>
      <c r="G535" s="400" t="str">
        <f t="shared" si="14"/>
        <v>Ipoteca attuale</v>
      </c>
    </row>
    <row r="536" spans="1:7" x14ac:dyDescent="0.25">
      <c r="A536" s="90" t="s">
        <v>2903</v>
      </c>
      <c r="B536" t="s">
        <v>3094</v>
      </c>
      <c r="C536" t="s">
        <v>3112</v>
      </c>
      <c r="D536" t="s">
        <v>3130</v>
      </c>
      <c r="E536" t="s">
        <v>3148</v>
      </c>
      <c r="F536" t="s">
        <v>3166</v>
      </c>
      <c r="G536" s="400" t="str">
        <f t="shared" si="14"/>
        <v>Valore dell'immobile</v>
      </c>
    </row>
    <row r="537" spans="1:7" x14ac:dyDescent="0.25">
      <c r="A537" s="90" t="s">
        <v>2922</v>
      </c>
      <c r="B537" t="s">
        <v>3105</v>
      </c>
      <c r="C537" t="s">
        <v>3123</v>
      </c>
      <c r="D537" t="s">
        <v>3141</v>
      </c>
      <c r="E537" t="s">
        <v>3159</v>
      </c>
      <c r="F537" t="s">
        <v>3177</v>
      </c>
      <c r="G537" s="400" t="str">
        <f t="shared" si="14"/>
        <v>Rendita di pensione P.S.</v>
      </c>
    </row>
    <row r="538" spans="1:7" x14ac:dyDescent="0.25">
      <c r="A538" s="90" t="s">
        <v>2923</v>
      </c>
      <c r="B538" t="s">
        <v>3106</v>
      </c>
      <c r="C538" t="s">
        <v>3124</v>
      </c>
      <c r="D538" t="s">
        <v>3142</v>
      </c>
      <c r="E538" t="s">
        <v>3160</v>
      </c>
      <c r="F538" t="s">
        <v>3178</v>
      </c>
      <c r="G538" s="400" t="str">
        <f t="shared" si="14"/>
        <v>Rendita di pensione A.S.</v>
      </c>
    </row>
    <row r="539" spans="1:7" x14ac:dyDescent="0.25">
      <c r="A539" s="90" t="s">
        <v>2927</v>
      </c>
      <c r="B539" t="s">
        <v>3107</v>
      </c>
      <c r="C539" t="s">
        <v>3125</v>
      </c>
      <c r="D539" t="s">
        <v>3143</v>
      </c>
      <c r="E539" t="s">
        <v>3161</v>
      </c>
      <c r="F539" t="s">
        <v>3179</v>
      </c>
      <c r="G539" s="400" t="str">
        <f t="shared" si="14"/>
        <v>Da ammortizzare entro la pensione (min)</v>
      </c>
    </row>
    <row r="540" spans="1:7" x14ac:dyDescent="0.25">
      <c r="A540" s="90" t="s">
        <v>2928</v>
      </c>
      <c r="B540" t="s">
        <v>3108</v>
      </c>
      <c r="C540" t="s">
        <v>3126</v>
      </c>
      <c r="D540" t="s">
        <v>3144</v>
      </c>
      <c r="E540" t="s">
        <v>3162</v>
      </c>
      <c r="F540" t="s">
        <v>3180</v>
      </c>
      <c r="G540" s="400" t="str">
        <f t="shared" si="14"/>
        <v>Da ammortizzare entro la pensione (max)</v>
      </c>
    </row>
    <row r="541" spans="1:7" x14ac:dyDescent="0.25">
      <c r="G541" s="400">
        <f t="shared" si="14"/>
        <v>0</v>
      </c>
    </row>
    <row r="542" spans="1:7" ht="21" customHeight="1" x14ac:dyDescent="0.25">
      <c r="A542" s="90" t="s">
        <v>2935</v>
      </c>
      <c r="B542" s="90" t="s">
        <v>2935</v>
      </c>
      <c r="C542" s="90" t="s">
        <v>2935</v>
      </c>
      <c r="D542" s="90" t="s">
        <v>2935</v>
      </c>
      <c r="E542" s="90" t="s">
        <v>2935</v>
      </c>
      <c r="F542" s="90" t="s">
        <v>2935</v>
      </c>
      <c r="G542" s="400" t="str">
        <f t="shared" si="14"/>
        <v>RISK MANAGEMENT</v>
      </c>
    </row>
    <row r="543" spans="1:7" ht="37.5" x14ac:dyDescent="0.25">
      <c r="A543" t="s">
        <v>2930</v>
      </c>
      <c r="B543" t="s">
        <v>2941</v>
      </c>
      <c r="C543" t="s">
        <v>2936</v>
      </c>
      <c r="D543" t="s">
        <v>2946</v>
      </c>
      <c r="E543" s="535" t="s">
        <v>2951</v>
      </c>
      <c r="F543" t="s">
        <v>2956</v>
      </c>
      <c r="G543" s="400" t="str">
        <f t="shared" si="14"/>
        <v>Quando è stata l'ultima volta che ha verificato la sua situazione assicurativa, anche in relazione alle assicurazioni sociali?</v>
      </c>
    </row>
    <row r="544" spans="1:7" x14ac:dyDescent="0.25">
      <c r="A544" t="s">
        <v>2931</v>
      </c>
      <c r="B544" t="s">
        <v>2942</v>
      </c>
      <c r="C544" t="s">
        <v>2937</v>
      </c>
      <c r="D544" t="s">
        <v>2947</v>
      </c>
      <c r="E544" s="535" t="s">
        <v>2952</v>
      </c>
      <c r="F544" t="s">
        <v>2957</v>
      </c>
      <c r="G544" s="400" t="str">
        <f t="shared" si="14"/>
        <v>Qual è stato il motivo di questa verifica?</v>
      </c>
    </row>
    <row r="545" spans="1:7" x14ac:dyDescent="0.25">
      <c r="A545" t="s">
        <v>2932</v>
      </c>
      <c r="B545" t="s">
        <v>2943</v>
      </c>
      <c r="C545" t="s">
        <v>2938</v>
      </c>
      <c r="D545" t="s">
        <v>2948</v>
      </c>
      <c r="E545" s="535" t="s">
        <v>2953</v>
      </c>
      <c r="F545" t="s">
        <v>2958</v>
      </c>
      <c r="G545" s="400" t="str">
        <f t="shared" si="14"/>
        <v>Qual è stato il risultato?</v>
      </c>
    </row>
    <row r="546" spans="1:7" ht="25" x14ac:dyDescent="0.25">
      <c r="A546" t="s">
        <v>2934</v>
      </c>
      <c r="B546" t="s">
        <v>2944</v>
      </c>
      <c r="C546" t="s">
        <v>2939</v>
      </c>
      <c r="D546" t="s">
        <v>2949</v>
      </c>
      <c r="E546" s="535" t="s">
        <v>2954</v>
      </c>
      <c r="F546" t="s">
        <v>2959</v>
      </c>
      <c r="G546" s="400" t="str">
        <f t="shared" si="14"/>
        <v>Qual è stata la ragione per cui ha deciso di esaminare la situazione?</v>
      </c>
    </row>
    <row r="547" spans="1:7" ht="25" x14ac:dyDescent="0.25">
      <c r="A547" t="s">
        <v>2933</v>
      </c>
      <c r="B547" t="s">
        <v>2945</v>
      </c>
      <c r="C547" t="s">
        <v>2940</v>
      </c>
      <c r="D547" t="s">
        <v>2950</v>
      </c>
      <c r="E547" s="535" t="s">
        <v>2955</v>
      </c>
      <c r="F547" t="s">
        <v>2960</v>
      </c>
      <c r="G547" s="400" t="str">
        <f t="shared" si="14"/>
        <v>Cosa è importante per lei nell'attuale verifica della sua situazione assicurativa?</v>
      </c>
    </row>
    <row r="548" spans="1:7" s="539" customFormat="1" x14ac:dyDescent="0.25">
      <c r="A548" s="537" t="s">
        <v>2964</v>
      </c>
      <c r="B548" s="537"/>
      <c r="C548" s="537"/>
      <c r="D548" s="537"/>
      <c r="E548" s="537"/>
      <c r="F548" s="537"/>
      <c r="G548" s="538" t="str">
        <f t="shared" si="14"/>
        <v>PREVIDENZA</v>
      </c>
    </row>
    <row r="549" spans="1:7" ht="25" x14ac:dyDescent="0.25">
      <c r="A549" t="s">
        <v>2961</v>
      </c>
      <c r="B549" t="s">
        <v>2986</v>
      </c>
      <c r="C549" t="s">
        <v>3006</v>
      </c>
      <c r="D549" t="s">
        <v>3026</v>
      </c>
      <c r="E549" t="s">
        <v>3046</v>
      </c>
      <c r="F549" t="s">
        <v>3066</v>
      </c>
      <c r="G549" s="400" t="str">
        <f t="shared" si="14"/>
        <v>Come si è tutelato contro i rischi di vecchiaia, morte e invalidità?</v>
      </c>
    </row>
    <row r="550" spans="1:7" x14ac:dyDescent="0.25">
      <c r="A550" t="s">
        <v>2962</v>
      </c>
      <c r="B550" t="s">
        <v>2987</v>
      </c>
      <c r="C550" t="s">
        <v>3007</v>
      </c>
      <c r="D550" t="s">
        <v>3027</v>
      </c>
      <c r="E550" t="s">
        <v>3047</v>
      </c>
      <c r="F550" t="s">
        <v>3067</v>
      </c>
      <c r="G550" s="400" t="str">
        <f t="shared" si="14"/>
        <v>Qual è stato il motivo di queste considerazioni?</v>
      </c>
    </row>
    <row r="551" spans="1:7" ht="25" x14ac:dyDescent="0.25">
      <c r="A551" t="s">
        <v>2963</v>
      </c>
      <c r="B551" t="s">
        <v>2988</v>
      </c>
      <c r="C551" t="s">
        <v>3008</v>
      </c>
      <c r="D551" t="s">
        <v>3028</v>
      </c>
      <c r="E551" t="s">
        <v>3048</v>
      </c>
      <c r="F551" t="s">
        <v>3068</v>
      </c>
      <c r="G551" s="400" t="str">
        <f t="shared" si="14"/>
        <v>Come valuta la sua attuale situazione assicurativa in relazione alla sua protezione?</v>
      </c>
    </row>
    <row r="552" spans="1:7" s="539" customFormat="1" x14ac:dyDescent="0.25">
      <c r="A552" s="537" t="s">
        <v>2965</v>
      </c>
      <c r="B552" s="537"/>
      <c r="C552" s="537"/>
      <c r="D552" s="537"/>
      <c r="E552" s="537"/>
      <c r="F552" s="537"/>
      <c r="G552" s="538" t="str">
        <f t="shared" si="14"/>
        <v>ABITAZIONE</v>
      </c>
    </row>
    <row r="553" spans="1:7" x14ac:dyDescent="0.25">
      <c r="A553" t="s">
        <v>2966</v>
      </c>
      <c r="B553" t="s">
        <v>2994</v>
      </c>
      <c r="C553" t="s">
        <v>3014</v>
      </c>
      <c r="D553" t="s">
        <v>3034</v>
      </c>
      <c r="E553" t="s">
        <v>3049</v>
      </c>
      <c r="F553" t="s">
        <v>3069</v>
      </c>
      <c r="G553" s="400" t="str">
        <f t="shared" si="14"/>
        <v>Qual è la sua visione della futura situazione abitativa?</v>
      </c>
    </row>
    <row r="554" spans="1:7" ht="25" x14ac:dyDescent="0.25">
      <c r="A554" t="s">
        <v>2967</v>
      </c>
      <c r="B554" t="s">
        <v>2995</v>
      </c>
      <c r="C554" t="s">
        <v>3015</v>
      </c>
      <c r="D554" t="s">
        <v>3035</v>
      </c>
      <c r="E554" t="s">
        <v>3050</v>
      </c>
      <c r="F554" t="s">
        <v>3070</v>
      </c>
      <c r="G554" s="400" t="str">
        <f t="shared" si="14"/>
        <v>Affittuario: Cosa ha fatto finora per raggiungere questo obiettivo?</v>
      </c>
    </row>
    <row r="555" spans="1:7" ht="25" x14ac:dyDescent="0.25">
      <c r="A555" t="s">
        <v>2968</v>
      </c>
      <c r="B555" t="s">
        <v>2996</v>
      </c>
      <c r="C555" t="s">
        <v>3016</v>
      </c>
      <c r="D555" t="s">
        <v>3036</v>
      </c>
      <c r="E555" t="s">
        <v>3051</v>
      </c>
      <c r="F555" t="s">
        <v>3071</v>
      </c>
      <c r="G555" s="400" t="str">
        <f t="shared" si="14"/>
        <v>Qual è la fascia di prezzo del suo immobile (con il 20% di mezzi propri disponibili)?</v>
      </c>
    </row>
    <row r="556" spans="1:7" ht="25" x14ac:dyDescent="0.25">
      <c r="A556" t="s">
        <v>2969</v>
      </c>
      <c r="B556" t="s">
        <v>2997</v>
      </c>
      <c r="C556" t="s">
        <v>3017</v>
      </c>
      <c r="D556" t="s">
        <v>3037</v>
      </c>
      <c r="E556" t="s">
        <v>3052</v>
      </c>
      <c r="F556" t="s">
        <v>3072</v>
      </c>
      <c r="G556" s="400" t="str">
        <f t="shared" si="14"/>
        <v>Come pensa di ottenere i mezzi propri necessari?</v>
      </c>
    </row>
    <row r="557" spans="1:7" ht="25" x14ac:dyDescent="0.25">
      <c r="A557" t="s">
        <v>2970</v>
      </c>
      <c r="B557" t="s">
        <v>2998</v>
      </c>
      <c r="C557" t="s">
        <v>3018</v>
      </c>
      <c r="D557" t="s">
        <v>3038</v>
      </c>
      <c r="E557" t="s">
        <v>3053</v>
      </c>
      <c r="F557" t="s">
        <v>3073</v>
      </c>
      <c r="G557" s="400" t="str">
        <f t="shared" si="14"/>
        <v>Proprietario: Come ha organizzato il finanziamento in termini di ipoteca e ammortamento?</v>
      </c>
    </row>
    <row r="558" spans="1:7" x14ac:dyDescent="0.25">
      <c r="A558" t="s">
        <v>2971</v>
      </c>
      <c r="B558" t="s">
        <v>2999</v>
      </c>
      <c r="C558" t="s">
        <v>3019</v>
      </c>
      <c r="D558" t="s">
        <v>3039</v>
      </c>
      <c r="E558" t="s">
        <v>3054</v>
      </c>
      <c r="F558" t="s">
        <v>3074</v>
      </c>
      <c r="G558" s="400" t="str">
        <f t="shared" ref="G558:G621" si="15">IF($C$1="IT",A558,IF($C$1="DE",B558,IF($C$1="FR",C558,IF($C$1="PT",D558,IF($C$1="RU",E558,IF($C$1="EN",F558,A558))))))</f>
        <v>Qual è stata la ragione di questa soluzione?</v>
      </c>
    </row>
    <row r="559" spans="1:7" x14ac:dyDescent="0.25">
      <c r="A559" t="s">
        <v>2972</v>
      </c>
      <c r="B559" t="s">
        <v>3000</v>
      </c>
      <c r="C559" t="s">
        <v>3020</v>
      </c>
      <c r="D559" t="s">
        <v>3040</v>
      </c>
      <c r="E559" t="s">
        <v>3055</v>
      </c>
      <c r="F559" t="s">
        <v>3075</v>
      </c>
      <c r="G559" s="400" t="str">
        <f t="shared" si="15"/>
        <v>Lo rifarebbe oggi nello stesso modo?</v>
      </c>
    </row>
    <row r="560" spans="1:7" s="539" customFormat="1" x14ac:dyDescent="0.25">
      <c r="A560" s="537" t="s">
        <v>2973</v>
      </c>
      <c r="B560" s="537"/>
      <c r="C560" s="537"/>
      <c r="D560" s="537"/>
      <c r="E560" s="537"/>
      <c r="F560" s="537"/>
      <c r="G560" s="538" t="str">
        <f t="shared" si="15"/>
        <v>TASSE</v>
      </c>
    </row>
    <row r="561" spans="1:7" ht="25" x14ac:dyDescent="0.25">
      <c r="A561" t="s">
        <v>2974</v>
      </c>
      <c r="B561" t="s">
        <v>3001</v>
      </c>
      <c r="C561" t="s">
        <v>3021</v>
      </c>
      <c r="D561" t="s">
        <v>3041</v>
      </c>
      <c r="E561" t="s">
        <v>3056</v>
      </c>
      <c r="F561" t="s">
        <v>3076</v>
      </c>
      <c r="G561" s="400" t="str">
        <f t="shared" si="15"/>
        <v>Come risparmia o ottimizza le tasse fino ad oggi?</v>
      </c>
    </row>
    <row r="562" spans="1:7" ht="25" x14ac:dyDescent="0.25">
      <c r="A562" t="s">
        <v>2975</v>
      </c>
      <c r="B562" t="s">
        <v>3002</v>
      </c>
      <c r="C562" t="s">
        <v>3022</v>
      </c>
      <c r="D562" t="s">
        <v>3042</v>
      </c>
      <c r="E562" t="s">
        <v>3057</v>
      </c>
      <c r="F562" t="s">
        <v>3077</v>
      </c>
      <c r="G562" s="400" t="str">
        <f t="shared" si="15"/>
        <v>Dove vede ulteriori possibilità per risparmiare o ottimizzare le tasse?</v>
      </c>
    </row>
    <row r="563" spans="1:7" x14ac:dyDescent="0.25">
      <c r="A563" t="s">
        <v>2976</v>
      </c>
      <c r="B563" t="s">
        <v>3003</v>
      </c>
      <c r="C563" t="s">
        <v>3023</v>
      </c>
      <c r="D563" t="s">
        <v>3043</v>
      </c>
      <c r="E563" t="s">
        <v>3058</v>
      </c>
      <c r="F563" t="s">
        <v>3078</v>
      </c>
      <c r="G563" s="400" t="str">
        <f t="shared" si="15"/>
        <v>Chi si occupa della sua dichiarazione fiscale?</v>
      </c>
    </row>
    <row r="564" spans="1:7" s="539" customFormat="1" x14ac:dyDescent="0.25">
      <c r="A564" s="537" t="s">
        <v>2977</v>
      </c>
      <c r="B564" s="537"/>
      <c r="C564" s="537"/>
      <c r="D564" s="537"/>
      <c r="E564" s="537"/>
      <c r="F564" s="537"/>
      <c r="G564" s="538" t="str">
        <f t="shared" si="15"/>
        <v>INVESTIMENTI</v>
      </c>
    </row>
    <row r="565" spans="1:7" x14ac:dyDescent="0.25">
      <c r="A565" t="s">
        <v>2982</v>
      </c>
      <c r="B565" t="s">
        <v>2989</v>
      </c>
      <c r="C565" t="s">
        <v>3009</v>
      </c>
      <c r="D565" t="s">
        <v>3029</v>
      </c>
      <c r="E565" t="s">
        <v>3059</v>
      </c>
      <c r="F565" t="s">
        <v>3079</v>
      </c>
      <c r="G565" s="400" t="str">
        <f t="shared" si="15"/>
        <v>Come risparmia e investe il suo denaro?</v>
      </c>
    </row>
    <row r="566" spans="1:7" ht="25" x14ac:dyDescent="0.25">
      <c r="A566" t="s">
        <v>2983</v>
      </c>
      <c r="B566" t="s">
        <v>2990</v>
      </c>
      <c r="C566" t="s">
        <v>3010</v>
      </c>
      <c r="D566" t="s">
        <v>3030</v>
      </c>
      <c r="E566" t="s">
        <v>3060</v>
      </c>
      <c r="F566" t="s">
        <v>3080</v>
      </c>
      <c r="G566" s="400" t="str">
        <f t="shared" si="15"/>
        <v>Quali considerazioni e obiettivi hanno guidato questa strategia?</v>
      </c>
    </row>
    <row r="567" spans="1:7" ht="25" x14ac:dyDescent="0.25">
      <c r="A567" t="s">
        <v>2979</v>
      </c>
      <c r="B567" t="s">
        <v>2991</v>
      </c>
      <c r="C567" t="s">
        <v>3011</v>
      </c>
      <c r="D567" t="s">
        <v>3031</v>
      </c>
      <c r="E567" t="s">
        <v>3061</v>
      </c>
      <c r="F567" t="s">
        <v>3081</v>
      </c>
      <c r="G567" s="400" t="str">
        <f t="shared" si="15"/>
        <v>Investirebbe oggi il denaro nello stesso modo?</v>
      </c>
    </row>
    <row r="568" spans="1:7" ht="25" x14ac:dyDescent="0.25">
      <c r="A568" t="s">
        <v>2984</v>
      </c>
      <c r="B568" t="s">
        <v>2992</v>
      </c>
      <c r="C568" t="s">
        <v>3012</v>
      </c>
      <c r="D568" t="s">
        <v>3032</v>
      </c>
      <c r="E568" t="s">
        <v>3062</v>
      </c>
      <c r="F568" t="s">
        <v>3082</v>
      </c>
      <c r="G568" s="400" t="str">
        <f t="shared" si="15"/>
        <v>Come si definirebbe come investitore? (conservativo, bilanciato, dinamico...)</v>
      </c>
    </row>
    <row r="569" spans="1:7" x14ac:dyDescent="0.25">
      <c r="A569" t="s">
        <v>2978</v>
      </c>
      <c r="B569" t="s">
        <v>2993</v>
      </c>
      <c r="C569" t="s">
        <v>3013</v>
      </c>
      <c r="D569" t="s">
        <v>3033</v>
      </c>
      <c r="E569" t="s">
        <v>3063</v>
      </c>
      <c r="F569" t="s">
        <v>3083</v>
      </c>
      <c r="G569" s="400" t="str">
        <f t="shared" si="15"/>
        <v>Quanta liquidità le serve per sentirsi a suo agio?</v>
      </c>
    </row>
    <row r="570" spans="1:7" x14ac:dyDescent="0.25">
      <c r="G570" s="400">
        <f t="shared" si="15"/>
        <v>0</v>
      </c>
    </row>
    <row r="571" spans="1:7" x14ac:dyDescent="0.25">
      <c r="G571" s="400">
        <f t="shared" si="15"/>
        <v>0</v>
      </c>
    </row>
    <row r="572" spans="1:7" ht="25" x14ac:dyDescent="0.25">
      <c r="A572" s="535" t="s">
        <v>2980</v>
      </c>
      <c r="B572" s="535" t="s">
        <v>3004</v>
      </c>
      <c r="C572" s="535" t="s">
        <v>3024</v>
      </c>
      <c r="D572" s="535" t="s">
        <v>3044</v>
      </c>
      <c r="E572" s="535" t="s">
        <v>3064</v>
      </c>
      <c r="F572" s="535" t="s">
        <v>3084</v>
      </c>
      <c r="G572" s="400" t="str">
        <f t="shared" si="15"/>
        <v>Ha qualcuno che la supporta nelle decisioni finanziarie?</v>
      </c>
    </row>
    <row r="573" spans="1:7" ht="25" x14ac:dyDescent="0.25">
      <c r="A573" s="535" t="s">
        <v>2981</v>
      </c>
      <c r="B573" s="535" t="s">
        <v>3005</v>
      </c>
      <c r="C573" s="535" t="s">
        <v>3025</v>
      </c>
      <c r="D573" s="535" t="s">
        <v>3045</v>
      </c>
      <c r="E573" s="535" t="s">
        <v>3065</v>
      </c>
      <c r="F573" s="535" t="s">
        <v>3085</v>
      </c>
      <c r="G573" s="400" t="str">
        <f t="shared" si="15"/>
        <v>Quanto influisce questa persona sulle decisioni che prende con me?</v>
      </c>
    </row>
    <row r="574" spans="1:7" x14ac:dyDescent="0.25">
      <c r="G574" s="400">
        <f t="shared" si="15"/>
        <v>0</v>
      </c>
    </row>
    <row r="575" spans="1:7" ht="25" x14ac:dyDescent="0.25">
      <c r="A575" s="400" t="s">
        <v>2985</v>
      </c>
      <c r="B575" t="s">
        <v>3086</v>
      </c>
      <c r="C575" t="s">
        <v>3087</v>
      </c>
      <c r="D575" t="s">
        <v>3088</v>
      </c>
      <c r="E575" t="s">
        <v>3089</v>
      </c>
      <c r="F575" t="s">
        <v>3090</v>
      </c>
      <c r="G575" s="400" t="str">
        <f t="shared" si="15"/>
        <v>ASSICURAZIONE SANITARIA: LA NOSTRA PROPOSTA PER IL CLIENTE</v>
      </c>
    </row>
    <row r="576" spans="1:7" x14ac:dyDescent="0.25">
      <c r="G576" s="400">
        <f t="shared" si="15"/>
        <v>0</v>
      </c>
    </row>
    <row r="577" spans="1:7" x14ac:dyDescent="0.25">
      <c r="G577" s="400">
        <f t="shared" si="15"/>
        <v>0</v>
      </c>
    </row>
    <row r="578" spans="1:7" ht="13" x14ac:dyDescent="0.3">
      <c r="A578" s="90" t="s">
        <v>3181</v>
      </c>
      <c r="B578" s="42" t="s">
        <v>3324</v>
      </c>
      <c r="C578" s="42" t="s">
        <v>3191</v>
      </c>
      <c r="D578" s="42" t="s">
        <v>3199</v>
      </c>
      <c r="E578" s="42" t="s">
        <v>3206</v>
      </c>
      <c r="F578" s="42" t="s">
        <v>3214</v>
      </c>
      <c r="G578" s="400" t="str">
        <f t="shared" si="15"/>
        <v>SOMMA ASS. ATTUALE</v>
      </c>
    </row>
    <row r="579" spans="1:7" ht="13" x14ac:dyDescent="0.3">
      <c r="A579" s="90" t="s">
        <v>3224</v>
      </c>
      <c r="B579" s="42" t="s">
        <v>3325</v>
      </c>
      <c r="C579" s="42" t="s">
        <v>3192</v>
      </c>
      <c r="D579" s="42" t="s">
        <v>3182</v>
      </c>
      <c r="E579" s="42" t="s">
        <v>3207</v>
      </c>
      <c r="F579" s="42" t="s">
        <v>3215</v>
      </c>
      <c r="G579" s="400" t="str">
        <f t="shared" si="15"/>
        <v>SOMA ASS. PROPOSTA</v>
      </c>
    </row>
    <row r="580" spans="1:7" ht="13" x14ac:dyDescent="0.3">
      <c r="A580" s="90" t="s">
        <v>3183</v>
      </c>
      <c r="B580" s="42" t="s">
        <v>3326</v>
      </c>
      <c r="C580" s="42" t="s">
        <v>3193</v>
      </c>
      <c r="D580" s="42" t="s">
        <v>3200</v>
      </c>
      <c r="E580" s="42" t="s">
        <v>3208</v>
      </c>
      <c r="F580" s="42" t="s">
        <v>3216</v>
      </c>
      <c r="G580" s="400" t="str">
        <f t="shared" si="15"/>
        <v>PREMIO ATTUALE</v>
      </c>
    </row>
    <row r="581" spans="1:7" ht="13" x14ac:dyDescent="0.3">
      <c r="A581" s="90" t="s">
        <v>3184</v>
      </c>
      <c r="B581" s="42" t="s">
        <v>3327</v>
      </c>
      <c r="C581" s="42" t="s">
        <v>3194</v>
      </c>
      <c r="D581" s="42" t="s">
        <v>3201</v>
      </c>
      <c r="E581" s="42" t="s">
        <v>3209</v>
      </c>
      <c r="F581" s="42" t="s">
        <v>3217</v>
      </c>
      <c r="G581" s="400" t="str">
        <f t="shared" si="15"/>
        <v>PREMIO PROPOSTA</v>
      </c>
    </row>
    <row r="582" spans="1:7" ht="13" x14ac:dyDescent="0.3">
      <c r="A582" s="90" t="s">
        <v>3222</v>
      </c>
      <c r="B582" s="42" t="s">
        <v>3187</v>
      </c>
      <c r="C582" s="42" t="s">
        <v>3195</v>
      </c>
      <c r="D582" s="42" t="s">
        <v>3202</v>
      </c>
      <c r="E582" s="42" t="s">
        <v>3210</v>
      </c>
      <c r="F582" s="42" t="s">
        <v>3218</v>
      </c>
      <c r="G582" s="400" t="str">
        <f t="shared" si="15"/>
        <v>POLIZZA N.</v>
      </c>
    </row>
    <row r="583" spans="1:7" ht="13" x14ac:dyDescent="0.3">
      <c r="A583" s="90" t="s">
        <v>3185</v>
      </c>
      <c r="B583" s="42" t="s">
        <v>3188</v>
      </c>
      <c r="C583" s="42" t="s">
        <v>3196</v>
      </c>
      <c r="D583" s="42" t="s">
        <v>3203</v>
      </c>
      <c r="E583" s="42" t="s">
        <v>3211</v>
      </c>
      <c r="F583" s="42" t="s">
        <v>3219</v>
      </c>
      <c r="G583" s="400" t="str">
        <f t="shared" si="15"/>
        <v>SCADENZA</v>
      </c>
    </row>
    <row r="584" spans="1:7" ht="13" x14ac:dyDescent="0.3">
      <c r="A584" s="90" t="s">
        <v>3223</v>
      </c>
      <c r="B584" s="42" t="s">
        <v>3189</v>
      </c>
      <c r="C584" s="42" t="s">
        <v>3197</v>
      </c>
      <c r="D584" s="42" t="s">
        <v>3204</v>
      </c>
      <c r="E584" s="42" t="s">
        <v>3212</v>
      </c>
      <c r="F584" s="42" t="s">
        <v>3220</v>
      </c>
      <c r="G584" s="400" t="str">
        <f t="shared" si="15"/>
        <v>TIPOLOGIA RISCHIO</v>
      </c>
    </row>
    <row r="585" spans="1:7" ht="13" x14ac:dyDescent="0.3">
      <c r="A585" s="90" t="s">
        <v>3186</v>
      </c>
      <c r="B585" s="42" t="s">
        <v>3190</v>
      </c>
      <c r="C585" s="42" t="s">
        <v>3198</v>
      </c>
      <c r="D585" s="42" t="s">
        <v>3205</v>
      </c>
      <c r="E585" s="42" t="s">
        <v>3213</v>
      </c>
      <c r="F585" s="42" t="s">
        <v>3221</v>
      </c>
      <c r="G585" s="400" t="str">
        <f t="shared" si="15"/>
        <v>COPERTURA ASS.</v>
      </c>
    </row>
    <row r="586" spans="1:7" x14ac:dyDescent="0.25">
      <c r="G586" s="400">
        <f t="shared" si="15"/>
        <v>0</v>
      </c>
    </row>
    <row r="587" spans="1:7" ht="13" x14ac:dyDescent="0.3">
      <c r="A587" s="540" t="s">
        <v>3225</v>
      </c>
      <c r="B587" s="42" t="s">
        <v>3304</v>
      </c>
      <c r="C587" s="42" t="s">
        <v>3300</v>
      </c>
      <c r="D587" s="42" t="s">
        <v>3301</v>
      </c>
      <c r="E587" s="42" t="s">
        <v>3302</v>
      </c>
      <c r="F587" s="541" t="s">
        <v>3303</v>
      </c>
      <c r="G587" s="400" t="str">
        <f t="shared" si="15"/>
        <v>Incendio/Natura</v>
      </c>
    </row>
    <row r="588" spans="1:7" ht="13" x14ac:dyDescent="0.3">
      <c r="A588" s="540" t="s">
        <v>3226</v>
      </c>
      <c r="B588" s="42" t="s">
        <v>3239</v>
      </c>
      <c r="C588" s="42" t="s">
        <v>3248</v>
      </c>
      <c r="D588" s="42" t="s">
        <v>3258</v>
      </c>
      <c r="E588" s="42" t="s">
        <v>3269</v>
      </c>
      <c r="F588" s="541" t="s">
        <v>3281</v>
      </c>
      <c r="G588" s="400" t="str">
        <f t="shared" si="15"/>
        <v>Danni acque</v>
      </c>
    </row>
    <row r="589" spans="1:7" ht="13" x14ac:dyDescent="0.3">
      <c r="A589" s="540" t="s">
        <v>3227</v>
      </c>
      <c r="B589" s="42" t="s">
        <v>3240</v>
      </c>
      <c r="C589" s="42" t="s">
        <v>3249</v>
      </c>
      <c r="D589" s="42" t="s">
        <v>3259</v>
      </c>
      <c r="E589" s="42" t="s">
        <v>3270</v>
      </c>
      <c r="F589" s="541" t="s">
        <v>3282</v>
      </c>
      <c r="G589" s="400" t="str">
        <f t="shared" si="15"/>
        <v>Rottura vetri</v>
      </c>
    </row>
    <row r="590" spans="1:7" ht="13" x14ac:dyDescent="0.3">
      <c r="A590" s="540" t="s">
        <v>3228</v>
      </c>
      <c r="B590" s="42" t="s">
        <v>3241</v>
      </c>
      <c r="C590" s="42" t="s">
        <v>3250</v>
      </c>
      <c r="D590" s="42" t="s">
        <v>3260</v>
      </c>
      <c r="E590" s="42" t="s">
        <v>3271</v>
      </c>
      <c r="F590" s="541" t="s">
        <v>3283</v>
      </c>
      <c r="G590" s="400" t="str">
        <f t="shared" si="15"/>
        <v>Furto</v>
      </c>
    </row>
    <row r="591" spans="1:7" ht="13" x14ac:dyDescent="0.3">
      <c r="A591" s="540" t="s">
        <v>3225</v>
      </c>
      <c r="B591" s="42" t="s">
        <v>3304</v>
      </c>
      <c r="C591" s="42" t="s">
        <v>3300</v>
      </c>
      <c r="D591" s="42" t="s">
        <v>3301</v>
      </c>
      <c r="E591" s="42" t="s">
        <v>3302</v>
      </c>
      <c r="F591" s="541" t="s">
        <v>3303</v>
      </c>
      <c r="G591" s="400" t="str">
        <f t="shared" si="15"/>
        <v>Incendio/Natura</v>
      </c>
    </row>
    <row r="592" spans="1:7" ht="13" x14ac:dyDescent="0.3">
      <c r="A592" s="540" t="s">
        <v>3226</v>
      </c>
      <c r="B592" s="42" t="s">
        <v>3239</v>
      </c>
      <c r="C592" s="42" t="s">
        <v>3248</v>
      </c>
      <c r="D592" s="42" t="s">
        <v>3258</v>
      </c>
      <c r="E592" s="42" t="s">
        <v>3269</v>
      </c>
      <c r="F592" s="541" t="s">
        <v>3281</v>
      </c>
      <c r="G592" s="400" t="str">
        <f t="shared" si="15"/>
        <v>Danni acque</v>
      </c>
    </row>
    <row r="593" spans="1:7" ht="13" x14ac:dyDescent="0.3">
      <c r="A593" s="540" t="s">
        <v>3227</v>
      </c>
      <c r="B593" s="42" t="s">
        <v>3240</v>
      </c>
      <c r="C593" s="42" t="s">
        <v>3249</v>
      </c>
      <c r="D593" s="42" t="s">
        <v>3259</v>
      </c>
      <c r="E593" s="42" t="s">
        <v>3270</v>
      </c>
      <c r="F593" s="541" t="s">
        <v>3282</v>
      </c>
      <c r="G593" s="400" t="str">
        <f t="shared" si="15"/>
        <v>Rottura vetri</v>
      </c>
    </row>
    <row r="594" spans="1:7" ht="13" x14ac:dyDescent="0.3">
      <c r="A594" s="540" t="s">
        <v>3228</v>
      </c>
      <c r="B594" s="42" t="s">
        <v>3241</v>
      </c>
      <c r="C594" s="42" t="s">
        <v>3250</v>
      </c>
      <c r="D594" s="42" t="s">
        <v>3260</v>
      </c>
      <c r="E594" s="42" t="s">
        <v>3271</v>
      </c>
      <c r="F594" s="541" t="s">
        <v>3283</v>
      </c>
      <c r="G594" s="400" t="str">
        <f t="shared" si="15"/>
        <v>Furto</v>
      </c>
    </row>
    <row r="595" spans="1:7" ht="13" x14ac:dyDescent="0.3">
      <c r="A595" s="540" t="s">
        <v>3229</v>
      </c>
      <c r="B595" s="42" t="s">
        <v>3229</v>
      </c>
      <c r="C595" s="42" t="s">
        <v>3251</v>
      </c>
      <c r="D595" s="42" t="s">
        <v>3261</v>
      </c>
      <c r="E595" s="42" t="s">
        <v>3272</v>
      </c>
      <c r="F595" s="541" t="s">
        <v>3229</v>
      </c>
      <c r="G595" s="400" t="str">
        <f t="shared" si="15"/>
        <v>All-risk</v>
      </c>
    </row>
    <row r="596" spans="1:7" ht="13" x14ac:dyDescent="0.3">
      <c r="A596" s="540" t="s">
        <v>3230</v>
      </c>
      <c r="B596" s="42" t="s">
        <v>3242</v>
      </c>
      <c r="C596" s="42" t="s">
        <v>3252</v>
      </c>
      <c r="D596" s="42" t="s">
        <v>3262</v>
      </c>
      <c r="E596" s="42" t="s">
        <v>3273</v>
      </c>
      <c r="F596" s="541" t="s">
        <v>3284</v>
      </c>
      <c r="G596" s="400" t="str">
        <f t="shared" si="15"/>
        <v>Privata/famiglia</v>
      </c>
    </row>
    <row r="597" spans="1:7" ht="13" x14ac:dyDescent="0.3">
      <c r="A597" s="540" t="s">
        <v>3231</v>
      </c>
      <c r="B597" s="42" t="s">
        <v>3243</v>
      </c>
      <c r="C597" s="42" t="s">
        <v>3253</v>
      </c>
      <c r="D597" s="42" t="s">
        <v>3263</v>
      </c>
      <c r="E597" s="42" t="s">
        <v>3274</v>
      </c>
      <c r="F597" s="541" t="s">
        <v>3285</v>
      </c>
      <c r="G597" s="400" t="str">
        <f t="shared" si="15"/>
        <v>Stabile</v>
      </c>
    </row>
    <row r="598" spans="1:7" ht="13" x14ac:dyDescent="0.3">
      <c r="A598" s="540" t="s">
        <v>3230</v>
      </c>
      <c r="B598" s="42" t="s">
        <v>3242</v>
      </c>
      <c r="C598" s="42" t="s">
        <v>3252</v>
      </c>
      <c r="D598" s="42" t="s">
        <v>3262</v>
      </c>
      <c r="E598" s="42" t="s">
        <v>3273</v>
      </c>
      <c r="F598" s="541" t="s">
        <v>3284</v>
      </c>
      <c r="G598" s="400" t="str">
        <f t="shared" si="15"/>
        <v>Privata/famiglia</v>
      </c>
    </row>
    <row r="599" spans="1:7" ht="13" x14ac:dyDescent="0.3">
      <c r="A599" s="540" t="s">
        <v>3232</v>
      </c>
      <c r="B599" s="42" t="s">
        <v>3244</v>
      </c>
      <c r="C599" s="42" t="s">
        <v>3254</v>
      </c>
      <c r="D599" s="42" t="s">
        <v>3264</v>
      </c>
      <c r="E599" s="42" t="s">
        <v>3275</v>
      </c>
      <c r="F599" s="541" t="s">
        <v>3286</v>
      </c>
      <c r="G599" s="400" t="str">
        <f t="shared" si="15"/>
        <v>Circolazione</v>
      </c>
    </row>
    <row r="600" spans="1:7" ht="13" x14ac:dyDescent="0.3">
      <c r="A600" s="540" t="s">
        <v>3233</v>
      </c>
      <c r="B600" s="42" t="s">
        <v>3297</v>
      </c>
      <c r="C600" s="42" t="s">
        <v>3298</v>
      </c>
      <c r="D600" s="42" t="s">
        <v>3298</v>
      </c>
      <c r="E600" s="42" t="s">
        <v>3299</v>
      </c>
      <c r="F600" s="541" t="s">
        <v>3297</v>
      </c>
      <c r="G600" s="400" t="str">
        <f t="shared" si="15"/>
        <v>Medica</v>
      </c>
    </row>
    <row r="601" spans="1:7" ht="13" x14ac:dyDescent="0.3">
      <c r="A601" s="540" t="s">
        <v>3234</v>
      </c>
      <c r="B601" s="42" t="s">
        <v>3294</v>
      </c>
      <c r="C601" s="42" t="s">
        <v>3234</v>
      </c>
      <c r="D601" s="42" t="s">
        <v>3234</v>
      </c>
      <c r="E601" s="42" t="s">
        <v>3295</v>
      </c>
      <c r="F601" s="541" t="s">
        <v>3296</v>
      </c>
      <c r="G601" s="400" t="str">
        <f t="shared" si="15"/>
        <v>RC</v>
      </c>
    </row>
    <row r="602" spans="1:7" ht="13" x14ac:dyDescent="0.3">
      <c r="A602" s="540" t="s">
        <v>3235</v>
      </c>
      <c r="B602" s="42" t="s">
        <v>3246</v>
      </c>
      <c r="C602" s="42" t="s">
        <v>3297</v>
      </c>
      <c r="D602" s="42" t="s">
        <v>3293</v>
      </c>
      <c r="E602" s="42" t="s">
        <v>3277</v>
      </c>
      <c r="F602" s="541" t="s">
        <v>3288</v>
      </c>
      <c r="G602" s="400" t="str">
        <f t="shared" si="15"/>
        <v>Casco Parziale</v>
      </c>
    </row>
    <row r="603" spans="1:7" ht="13" x14ac:dyDescent="0.3">
      <c r="A603" s="540" t="s">
        <v>3236</v>
      </c>
      <c r="B603" s="42" t="s">
        <v>3247</v>
      </c>
      <c r="C603" s="42" t="s">
        <v>3257</v>
      </c>
      <c r="D603" s="42" t="s">
        <v>3267</v>
      </c>
      <c r="E603" s="42" t="s">
        <v>3278</v>
      </c>
      <c r="F603" s="541" t="s">
        <v>3257</v>
      </c>
      <c r="G603" s="400" t="str">
        <f t="shared" si="15"/>
        <v>Collisione</v>
      </c>
    </row>
    <row r="604" spans="1:7" ht="13" x14ac:dyDescent="0.3">
      <c r="A604" s="540" t="s">
        <v>3237</v>
      </c>
      <c r="B604" s="42" t="s">
        <v>3290</v>
      </c>
      <c r="C604" s="42" t="s">
        <v>3291</v>
      </c>
      <c r="D604" s="42" t="s">
        <v>3292</v>
      </c>
      <c r="E604" s="42" t="s">
        <v>3279</v>
      </c>
      <c r="F604" s="541" t="s">
        <v>3289</v>
      </c>
      <c r="G604" s="400" t="str">
        <f t="shared" si="15"/>
        <v>Occupanti</v>
      </c>
    </row>
    <row r="605" spans="1:7" ht="13" x14ac:dyDescent="0.3">
      <c r="A605" s="540" t="s">
        <v>3238</v>
      </c>
      <c r="B605" s="42" t="s">
        <v>3238</v>
      </c>
      <c r="C605" s="42" t="s">
        <v>3238</v>
      </c>
      <c r="D605" s="42" t="s">
        <v>3268</v>
      </c>
      <c r="E605" s="42" t="s">
        <v>3280</v>
      </c>
      <c r="F605" s="541" t="s">
        <v>3238</v>
      </c>
      <c r="G605" s="400" t="str">
        <f t="shared" si="15"/>
        <v>Assistance</v>
      </c>
    </row>
    <row r="606" spans="1:7" ht="13" x14ac:dyDescent="0.3">
      <c r="A606" s="540" t="s">
        <v>3234</v>
      </c>
      <c r="B606" s="42" t="s">
        <v>3245</v>
      </c>
      <c r="C606" s="42" t="s">
        <v>3255</v>
      </c>
      <c r="D606" s="42" t="s">
        <v>3265</v>
      </c>
      <c r="E606" s="42" t="s">
        <v>3276</v>
      </c>
      <c r="F606" s="541" t="s">
        <v>3287</v>
      </c>
      <c r="G606" s="400" t="str">
        <f t="shared" si="15"/>
        <v>RC</v>
      </c>
    </row>
    <row r="607" spans="1:7" ht="13" x14ac:dyDescent="0.3">
      <c r="A607" s="540" t="s">
        <v>3235</v>
      </c>
      <c r="B607" s="42" t="s">
        <v>3246</v>
      </c>
      <c r="C607" s="42" t="s">
        <v>3256</v>
      </c>
      <c r="D607" s="42" t="s">
        <v>3266</v>
      </c>
      <c r="E607" s="42" t="s">
        <v>3277</v>
      </c>
      <c r="F607" s="541" t="s">
        <v>3288</v>
      </c>
      <c r="G607" s="400" t="str">
        <f t="shared" si="15"/>
        <v>Casco Parziale</v>
      </c>
    </row>
    <row r="608" spans="1:7" ht="13" x14ac:dyDescent="0.3">
      <c r="A608" s="540" t="s">
        <v>3236</v>
      </c>
      <c r="B608" s="42" t="s">
        <v>3247</v>
      </c>
      <c r="C608" s="42" t="s">
        <v>3257</v>
      </c>
      <c r="D608" s="42" t="s">
        <v>3267</v>
      </c>
      <c r="E608" s="42" t="s">
        <v>3278</v>
      </c>
      <c r="F608" s="541" t="s">
        <v>3257</v>
      </c>
      <c r="G608" s="400" t="str">
        <f t="shared" si="15"/>
        <v>Collisione</v>
      </c>
    </row>
    <row r="609" spans="1:7" ht="13" x14ac:dyDescent="0.3">
      <c r="A609" s="540" t="s">
        <v>3237</v>
      </c>
      <c r="B609" s="42" t="s">
        <v>3290</v>
      </c>
      <c r="C609" s="42" t="s">
        <v>3291</v>
      </c>
      <c r="D609" s="42" t="s">
        <v>3292</v>
      </c>
      <c r="E609" s="42" t="s">
        <v>3279</v>
      </c>
      <c r="F609" s="541" t="s">
        <v>3289</v>
      </c>
      <c r="G609" s="400" t="str">
        <f t="shared" si="15"/>
        <v>Occupanti</v>
      </c>
    </row>
    <row r="610" spans="1:7" ht="13" x14ac:dyDescent="0.3">
      <c r="A610" s="90" t="s">
        <v>3238</v>
      </c>
      <c r="B610" s="42" t="s">
        <v>3238</v>
      </c>
      <c r="C610" s="42" t="s">
        <v>3238</v>
      </c>
      <c r="D610" s="42" t="s">
        <v>3268</v>
      </c>
      <c r="E610" s="42" t="s">
        <v>3280</v>
      </c>
      <c r="F610" s="541" t="s">
        <v>3238</v>
      </c>
      <c r="G610" s="400" t="str">
        <f t="shared" si="15"/>
        <v>Assistance</v>
      </c>
    </row>
    <row r="611" spans="1:7" ht="13" x14ac:dyDescent="0.3">
      <c r="A611" s="90" t="s">
        <v>3308</v>
      </c>
      <c r="B611" s="42" t="s">
        <v>3306</v>
      </c>
      <c r="C611" s="541" t="s">
        <v>3311</v>
      </c>
      <c r="D611" s="42" t="s">
        <v>3313</v>
      </c>
      <c r="E611" s="42" t="s">
        <v>3315</v>
      </c>
      <c r="F611" s="42" t="s">
        <v>3318</v>
      </c>
      <c r="G611" s="400" t="str">
        <f t="shared" si="15"/>
        <v>RC Stabili</v>
      </c>
    </row>
    <row r="612" spans="1:7" ht="13" x14ac:dyDescent="0.3">
      <c r="A612" s="90" t="s">
        <v>3309</v>
      </c>
      <c r="B612" s="42" t="s">
        <v>3307</v>
      </c>
      <c r="C612" s="541" t="s">
        <v>3312</v>
      </c>
      <c r="D612" s="42" t="s">
        <v>3314</v>
      </c>
      <c r="E612" s="42" t="s">
        <v>3316</v>
      </c>
      <c r="F612" s="42" t="s">
        <v>3317</v>
      </c>
      <c r="G612" s="400" t="str">
        <f t="shared" si="15"/>
        <v>RC Privata</v>
      </c>
    </row>
    <row r="613" spans="1:7" ht="13" x14ac:dyDescent="0.3">
      <c r="A613" s="90" t="s">
        <v>3310</v>
      </c>
      <c r="B613" s="42" t="s">
        <v>3319</v>
      </c>
      <c r="C613" s="541" t="s">
        <v>3320</v>
      </c>
      <c r="D613" s="42" t="s">
        <v>3321</v>
      </c>
      <c r="E613" s="42" t="s">
        <v>3322</v>
      </c>
      <c r="F613" s="42" t="s">
        <v>3323</v>
      </c>
      <c r="G613" s="90" t="str">
        <f t="shared" si="15"/>
        <v>RC V.M.</v>
      </c>
    </row>
    <row r="614" spans="1:7" x14ac:dyDescent="0.25">
      <c r="G614" s="90">
        <f t="shared" si="15"/>
        <v>0</v>
      </c>
    </row>
    <row r="615" spans="1:7" ht="13" x14ac:dyDescent="0.25">
      <c r="A615" s="90" t="s">
        <v>3328</v>
      </c>
      <c r="B615" t="s">
        <v>3329</v>
      </c>
      <c r="C615" t="s">
        <v>3330</v>
      </c>
      <c r="D615" s="541" t="s">
        <v>3331</v>
      </c>
      <c r="E615" t="s">
        <v>3332</v>
      </c>
      <c r="F615" t="s">
        <v>3333</v>
      </c>
      <c r="G615" s="90" t="str">
        <f t="shared" si="15"/>
        <v>Lacuna di copertura</v>
      </c>
    </row>
    <row r="616" spans="1:7" x14ac:dyDescent="0.25">
      <c r="G616" s="90">
        <f t="shared" si="15"/>
        <v>0</v>
      </c>
    </row>
    <row r="617" spans="1:7" ht="31" x14ac:dyDescent="0.25">
      <c r="A617" t="s">
        <v>3498</v>
      </c>
      <c r="B617" s="556" t="s">
        <v>3334</v>
      </c>
      <c r="C617" t="s">
        <v>3387</v>
      </c>
      <c r="D617" t="s">
        <v>3416</v>
      </c>
      <c r="E617" t="s">
        <v>3443</v>
      </c>
      <c r="F617" t="s">
        <v>3472</v>
      </c>
      <c r="G617" s="90" t="str">
        <f t="shared" si="15"/>
        <v>Riepilogo Fabbisogno &amp; Proposte di soluzione</v>
      </c>
    </row>
    <row r="618" spans="1:7" ht="18.5" x14ac:dyDescent="0.25">
      <c r="A618" t="s">
        <v>3361</v>
      </c>
      <c r="B618" s="557" t="s">
        <v>3337</v>
      </c>
      <c r="C618" t="s">
        <v>3388</v>
      </c>
      <c r="D618" t="s">
        <v>3361</v>
      </c>
      <c r="E618" t="s">
        <v>3444</v>
      </c>
      <c r="F618" t="s">
        <v>3473</v>
      </c>
      <c r="G618" s="90" t="str">
        <f t="shared" si="15"/>
        <v>Proposta</v>
      </c>
    </row>
    <row r="619" spans="1:7" ht="15.5" x14ac:dyDescent="0.25">
      <c r="A619" t="s">
        <v>3362</v>
      </c>
      <c r="B619" s="558" t="s">
        <v>3336</v>
      </c>
      <c r="C619" t="s">
        <v>3389</v>
      </c>
      <c r="D619" t="s">
        <v>3417</v>
      </c>
      <c r="E619" t="s">
        <v>3445</v>
      </c>
      <c r="F619" t="s">
        <v>3474</v>
      </c>
      <c r="G619" s="90" t="str">
        <f t="shared" si="15"/>
        <v>Min. 80% Azioni</v>
      </c>
    </row>
    <row r="620" spans="1:7" ht="18.5" x14ac:dyDescent="0.45">
      <c r="A620" t="s">
        <v>3363</v>
      </c>
      <c r="B620" s="559" t="s">
        <v>3338</v>
      </c>
      <c r="C620" t="s">
        <v>3390</v>
      </c>
      <c r="D620" t="s">
        <v>3418</v>
      </c>
      <c r="E620" t="s">
        <v>3446</v>
      </c>
      <c r="F620" t="s">
        <v>3475</v>
      </c>
      <c r="G620" s="90" t="str">
        <f t="shared" si="15"/>
        <v>Versamenti fino alla pensione</v>
      </c>
    </row>
    <row r="621" spans="1:7" ht="18.5" x14ac:dyDescent="0.45">
      <c r="A621" t="s">
        <v>3364</v>
      </c>
      <c r="B621" s="559" t="s">
        <v>3339</v>
      </c>
      <c r="C621" t="s">
        <v>3391</v>
      </c>
      <c r="D621" t="s">
        <v>3419</v>
      </c>
      <c r="E621" t="s">
        <v>3447</v>
      </c>
      <c r="F621" t="s">
        <v>3476</v>
      </c>
      <c r="G621" s="90" t="str">
        <f t="shared" si="15"/>
        <v>al mese</v>
      </c>
    </row>
    <row r="622" spans="1:7" ht="18.5" x14ac:dyDescent="0.45">
      <c r="A622" t="s">
        <v>38</v>
      </c>
      <c r="B622" s="559" t="s">
        <v>2337</v>
      </c>
      <c r="C622" t="s">
        <v>3392</v>
      </c>
      <c r="D622" t="s">
        <v>3420</v>
      </c>
      <c r="E622" t="s">
        <v>3448</v>
      </c>
      <c r="F622" t="s">
        <v>2512</v>
      </c>
      <c r="G622" s="90" t="str">
        <f t="shared" ref="G622:G646" si="16">IF($C$1="IT",A622,IF($C$1="DE",B622,IF($C$1="FR",C622,IF($C$1="PT",D622,IF($C$1="RU",E622,IF($C$1="EN",F622,A622))))))</f>
        <v>Anni</v>
      </c>
    </row>
    <row r="623" spans="1:7" ht="23.5" x14ac:dyDescent="0.25">
      <c r="A623" t="s">
        <v>3365</v>
      </c>
      <c r="B623" s="560" t="s">
        <v>3340</v>
      </c>
      <c r="C623" t="s">
        <v>3393</v>
      </c>
      <c r="D623" t="s">
        <v>3421</v>
      </c>
      <c r="E623" t="s">
        <v>3449</v>
      </c>
      <c r="F623" t="s">
        <v>3477</v>
      </c>
      <c r="G623" s="90" t="str">
        <f t="shared" si="16"/>
        <v>Situazione di vita</v>
      </c>
    </row>
    <row r="624" spans="1:7" ht="15.5" x14ac:dyDescent="0.25">
      <c r="A624" t="s">
        <v>3366</v>
      </c>
      <c r="B624" s="558" t="s">
        <v>3341</v>
      </c>
      <c r="C624" t="s">
        <v>3394</v>
      </c>
      <c r="D624" t="s">
        <v>3422</v>
      </c>
      <c r="E624" t="s">
        <v>3450</v>
      </c>
      <c r="F624" t="s">
        <v>3478</v>
      </c>
      <c r="G624" s="90" t="str">
        <f t="shared" si="16"/>
        <v>Sicurezza per la famiglia</v>
      </c>
    </row>
    <row r="625" spans="1:7" ht="15.5" x14ac:dyDescent="0.25">
      <c r="A625" t="s">
        <v>3367</v>
      </c>
      <c r="B625" s="558" t="s">
        <v>3342</v>
      </c>
      <c r="C625" t="s">
        <v>3395</v>
      </c>
      <c r="D625" t="s">
        <v>3423</v>
      </c>
      <c r="E625" t="s">
        <v>3451</v>
      </c>
      <c r="F625" t="s">
        <v>3479</v>
      </c>
      <c r="G625" s="90" t="str">
        <f t="shared" si="16"/>
        <v>Sicurezza finanziaria in tutte le circostanze della vita</v>
      </c>
    </row>
    <row r="626" spans="1:7" ht="15.5" x14ac:dyDescent="0.25">
      <c r="A626" t="s">
        <v>3368</v>
      </c>
      <c r="B626" s="558" t="s">
        <v>3343</v>
      </c>
      <c r="C626" t="s">
        <v>3396</v>
      </c>
      <c r="D626" t="s">
        <v>3424</v>
      </c>
      <c r="E626" t="s">
        <v>3452</v>
      </c>
      <c r="F626" t="s">
        <v>3480</v>
      </c>
      <c r="G626" s="90" t="str">
        <f t="shared" si="16"/>
        <v>Libertà finanziaria in pensione</v>
      </c>
    </row>
    <row r="627" spans="1:7" ht="15.5" x14ac:dyDescent="0.25">
      <c r="A627" t="s">
        <v>3369</v>
      </c>
      <c r="B627" s="558" t="s">
        <v>3344</v>
      </c>
      <c r="C627" t="s">
        <v>3397</v>
      </c>
      <c r="D627" t="s">
        <v>3425</v>
      </c>
      <c r="E627" t="s">
        <v>3453</v>
      </c>
      <c r="F627" t="s">
        <v>583</v>
      </c>
      <c r="G627" s="90" t="str">
        <f t="shared" si="16"/>
        <v>Costruire e accrescere il patrimonio</v>
      </c>
    </row>
    <row r="628" spans="1:7" ht="15.5" x14ac:dyDescent="0.25">
      <c r="A628" t="s">
        <v>3370</v>
      </c>
      <c r="B628" s="558" t="s">
        <v>508</v>
      </c>
      <c r="C628" t="s">
        <v>3398</v>
      </c>
      <c r="D628" t="s">
        <v>548</v>
      </c>
      <c r="E628" t="s">
        <v>3454</v>
      </c>
      <c r="F628" t="s">
        <v>582</v>
      </c>
      <c r="G628" s="90" t="str">
        <f t="shared" si="16"/>
        <v>Risparmiare sulle tasse</v>
      </c>
    </row>
    <row r="629" spans="1:7" ht="15.5" x14ac:dyDescent="0.25">
      <c r="A629" t="s">
        <v>3371</v>
      </c>
      <c r="B629" s="558" t="s">
        <v>3345</v>
      </c>
      <c r="C629" t="s">
        <v>3399</v>
      </c>
      <c r="D629" t="s">
        <v>3426</v>
      </c>
      <c r="E629" t="s">
        <v>3455</v>
      </c>
      <c r="F629" t="s">
        <v>3481</v>
      </c>
      <c r="G629" s="90" t="str">
        <f t="shared" si="16"/>
        <v>Acquistare e mantenere una casa di proprietà</v>
      </c>
    </row>
    <row r="630" spans="1:7" ht="15.5" x14ac:dyDescent="0.25">
      <c r="A630" t="s">
        <v>3372</v>
      </c>
      <c r="B630" s="558" t="s">
        <v>3346</v>
      </c>
      <c r="C630" t="s">
        <v>3400</v>
      </c>
      <c r="D630" t="s">
        <v>3427</v>
      </c>
      <c r="E630" t="s">
        <v>3456</v>
      </c>
      <c r="F630" t="s">
        <v>3482</v>
      </c>
      <c r="G630" s="90" t="str">
        <f t="shared" si="16"/>
        <v>Flessibilità (viaggi, formazione, ecc.)</v>
      </c>
    </row>
    <row r="631" spans="1:7" ht="23.5" x14ac:dyDescent="0.25">
      <c r="A631" t="s">
        <v>3373</v>
      </c>
      <c r="B631" s="560" t="s">
        <v>3347</v>
      </c>
      <c r="C631" t="s">
        <v>3401</v>
      </c>
      <c r="D631" t="s">
        <v>3428</v>
      </c>
      <c r="E631" t="s">
        <v>3457</v>
      </c>
      <c r="F631" t="s">
        <v>3483</v>
      </c>
      <c r="G631" s="90" t="str">
        <f t="shared" si="16"/>
        <v>Rischio</v>
      </c>
    </row>
    <row r="632" spans="1:7" ht="14.5" x14ac:dyDescent="0.25">
      <c r="A632" t="s">
        <v>3374</v>
      </c>
      <c r="B632" s="561" t="s">
        <v>3348</v>
      </c>
      <c r="C632" t="s">
        <v>3402</v>
      </c>
      <c r="D632" t="s">
        <v>3429</v>
      </c>
      <c r="E632" t="s">
        <v>3458</v>
      </c>
      <c r="F632" t="s">
        <v>3484</v>
      </c>
      <c r="G632" s="90" t="str">
        <f t="shared" si="16"/>
        <v>Gap in caso di morte</v>
      </c>
    </row>
    <row r="633" spans="1:7" ht="14.5" x14ac:dyDescent="0.25">
      <c r="A633" t="s">
        <v>3375</v>
      </c>
      <c r="B633" s="561" t="s">
        <v>3349</v>
      </c>
      <c r="C633" t="s">
        <v>3403</v>
      </c>
      <c r="D633" t="s">
        <v>3430</v>
      </c>
      <c r="E633" t="s">
        <v>3459</v>
      </c>
      <c r="F633" t="s">
        <v>3485</v>
      </c>
      <c r="G633" s="90" t="str">
        <f t="shared" si="16"/>
        <v>Gap in caso di invalidità (malattia)</v>
      </c>
    </row>
    <row r="634" spans="1:7" ht="14.5" x14ac:dyDescent="0.25">
      <c r="A634" t="s">
        <v>3376</v>
      </c>
      <c r="B634" s="561" t="s">
        <v>3350</v>
      </c>
      <c r="C634" t="s">
        <v>3404</v>
      </c>
      <c r="D634" t="s">
        <v>3431</v>
      </c>
      <c r="E634" t="s">
        <v>3460</v>
      </c>
      <c r="F634" t="s">
        <v>3486</v>
      </c>
      <c r="G634" s="90" t="str">
        <f t="shared" si="16"/>
        <v>Capitale alla pensione</v>
      </c>
    </row>
    <row r="635" spans="1:7" ht="14.5" x14ac:dyDescent="0.25">
      <c r="A635" t="s">
        <v>3377</v>
      </c>
      <c r="B635" s="561" t="s">
        <v>3351</v>
      </c>
      <c r="C635" t="s">
        <v>3405</v>
      </c>
      <c r="D635" t="s">
        <v>3432</v>
      </c>
      <c r="E635" t="s">
        <v>3461</v>
      </c>
      <c r="F635" t="s">
        <v>3487</v>
      </c>
      <c r="G635" s="90" t="str">
        <f t="shared" si="16"/>
        <v>Garanzia del raggiungimento del capitale</v>
      </c>
    </row>
    <row r="636" spans="1:7" ht="14.5" x14ac:dyDescent="0.25">
      <c r="A636" t="s">
        <v>3378</v>
      </c>
      <c r="B636" s="561" t="s">
        <v>3352</v>
      </c>
      <c r="C636" t="s">
        <v>3406</v>
      </c>
      <c r="D636" t="s">
        <v>3433</v>
      </c>
      <c r="E636" t="s">
        <v>3462</v>
      </c>
      <c r="F636" t="s">
        <v>3488</v>
      </c>
      <c r="G636" s="90" t="str">
        <f t="shared" si="16"/>
        <v>Performance del fondo negli ultimi 5 anni</v>
      </c>
    </row>
    <row r="637" spans="1:7" ht="14.5" x14ac:dyDescent="0.25">
      <c r="A637" t="s">
        <v>3379</v>
      </c>
      <c r="B637" s="561" t="s">
        <v>3353</v>
      </c>
      <c r="C637" t="s">
        <v>3407</v>
      </c>
      <c r="D637" t="s">
        <v>3434</v>
      </c>
      <c r="E637" t="s">
        <v>3463</v>
      </c>
      <c r="F637" t="s">
        <v>3489</v>
      </c>
      <c r="G637" s="90" t="str">
        <f t="shared" si="16"/>
        <v>Costi del fondo</v>
      </c>
    </row>
    <row r="638" spans="1:7" ht="14.5" x14ac:dyDescent="0.25">
      <c r="A638" t="s">
        <v>3380</v>
      </c>
      <c r="B638" s="561" t="s">
        <v>3354</v>
      </c>
      <c r="C638" t="s">
        <v>3408</v>
      </c>
      <c r="D638" t="s">
        <v>3435</v>
      </c>
      <c r="E638" t="s">
        <v>3464</v>
      </c>
      <c r="F638" t="s">
        <v>3490</v>
      </c>
      <c r="G638" s="90" t="str">
        <f t="shared" si="16"/>
        <v>Ottimizzare le spese</v>
      </c>
    </row>
    <row r="639" spans="1:7" ht="14.5" x14ac:dyDescent="0.25">
      <c r="A639" t="s">
        <v>3560</v>
      </c>
      <c r="B639" s="561" t="s">
        <v>3559</v>
      </c>
      <c r="C639" t="s">
        <v>3558</v>
      </c>
      <c r="D639" t="s">
        <v>3557</v>
      </c>
      <c r="E639" t="s">
        <v>3556</v>
      </c>
      <c r="F639" t="s">
        <v>3555</v>
      </c>
      <c r="G639" s="90" t="str">
        <f t="shared" si="16"/>
        <v>Prelievo di capitale per la casa di proprietà</v>
      </c>
    </row>
    <row r="640" spans="1:7" ht="23.5" x14ac:dyDescent="0.3">
      <c r="A640" t="s">
        <v>119</v>
      </c>
      <c r="B640" s="560" t="s">
        <v>440</v>
      </c>
      <c r="C640" s="42" t="s">
        <v>3409</v>
      </c>
      <c r="D640" s="42" t="s">
        <v>3436</v>
      </c>
      <c r="E640" s="42" t="s">
        <v>3465</v>
      </c>
      <c r="F640" s="42" t="s">
        <v>3491</v>
      </c>
      <c r="G640" s="90" t="str">
        <f t="shared" si="16"/>
        <v>Fabbisogno</v>
      </c>
    </row>
    <row r="641" spans="1:7" ht="14.5" x14ac:dyDescent="0.25">
      <c r="A641" t="s">
        <v>3381</v>
      </c>
      <c r="B641" s="562" t="s">
        <v>3355</v>
      </c>
      <c r="C641" t="s">
        <v>3410</v>
      </c>
      <c r="D641" t="s">
        <v>3437</v>
      </c>
      <c r="E641" t="s">
        <v>3466</v>
      </c>
      <c r="F641" t="s">
        <v>3492</v>
      </c>
      <c r="G641" s="90" t="str">
        <f t="shared" si="16"/>
        <v>Capitale accumulato</v>
      </c>
    </row>
    <row r="642" spans="1:7" ht="15.5" x14ac:dyDescent="0.25">
      <c r="A642" t="s">
        <v>3382</v>
      </c>
      <c r="B642" s="563" t="s">
        <v>3356</v>
      </c>
      <c r="C642" t="s">
        <v>3411</v>
      </c>
      <c r="D642" t="s">
        <v>3438</v>
      </c>
      <c r="E642" t="s">
        <v>3467</v>
      </c>
      <c r="F642" t="s">
        <v>3493</v>
      </c>
      <c r="G642" s="90" t="str">
        <f t="shared" si="16"/>
        <v>Non può essere coperto!</v>
      </c>
    </row>
    <row r="643" spans="1:7" ht="15.5" x14ac:dyDescent="0.35">
      <c r="A643" t="s">
        <v>3383</v>
      </c>
      <c r="B643" s="564" t="s">
        <v>3357</v>
      </c>
      <c r="C643" t="s">
        <v>3412</v>
      </c>
      <c r="D643" t="s">
        <v>3439</v>
      </c>
      <c r="E643" t="s">
        <v>3468</v>
      </c>
      <c r="F643" t="s">
        <v>3494</v>
      </c>
      <c r="G643" s="90" t="str">
        <f t="shared" si="16"/>
        <v>Non garantito</v>
      </c>
    </row>
    <row r="644" spans="1:7" ht="15.5" x14ac:dyDescent="0.35">
      <c r="A644" t="s">
        <v>3384</v>
      </c>
      <c r="B644" s="565" t="s">
        <v>3358</v>
      </c>
      <c r="C644" t="s">
        <v>3413</v>
      </c>
      <c r="D644" t="s">
        <v>3440</v>
      </c>
      <c r="E644" t="s">
        <v>3469</v>
      </c>
      <c r="F644" t="s">
        <v>3495</v>
      </c>
      <c r="G644" s="90" t="str">
        <f t="shared" si="16"/>
        <v>Garantito</v>
      </c>
    </row>
    <row r="645" spans="1:7" ht="15.5" x14ac:dyDescent="0.35">
      <c r="A645" t="s">
        <v>3385</v>
      </c>
      <c r="B645" s="565" t="s">
        <v>3359</v>
      </c>
      <c r="C645" t="s">
        <v>3414</v>
      </c>
      <c r="D645" t="s">
        <v>3441</v>
      </c>
      <c r="E645" t="s">
        <v>3470</v>
      </c>
      <c r="F645" t="s">
        <v>3496</v>
      </c>
      <c r="G645" s="90" t="str">
        <f t="shared" si="16"/>
        <v>Mese</v>
      </c>
    </row>
    <row r="646" spans="1:7" ht="15.5" x14ac:dyDescent="0.35">
      <c r="A646" t="s">
        <v>3386</v>
      </c>
      <c r="B646" s="565" t="s">
        <v>3360</v>
      </c>
      <c r="C646" t="s">
        <v>3415</v>
      </c>
      <c r="D646" t="s">
        <v>3442</v>
      </c>
      <c r="E646" t="s">
        <v>3471</v>
      </c>
      <c r="F646" t="s">
        <v>3497</v>
      </c>
      <c r="G646" s="90" t="str">
        <f t="shared" si="16"/>
        <v>Mese (pagabile trimestralmente 100.-)</v>
      </c>
    </row>
    <row r="647" spans="1:7" x14ac:dyDescent="0.25">
      <c r="A647" s="90" t="s">
        <v>3499</v>
      </c>
      <c r="B647" s="90" t="s">
        <v>3499</v>
      </c>
      <c r="C647" s="90" t="s">
        <v>3499</v>
      </c>
      <c r="D647" s="90" t="s">
        <v>3499</v>
      </c>
      <c r="E647" s="90" t="s">
        <v>3499</v>
      </c>
      <c r="F647" s="90" t="s">
        <v>3499</v>
      </c>
      <c r="G647" s="90" t="s">
        <v>3499</v>
      </c>
    </row>
    <row r="648" spans="1:7" x14ac:dyDescent="0.25">
      <c r="A648" s="90" t="s">
        <v>3500</v>
      </c>
      <c r="B648" s="90" t="s">
        <v>3500</v>
      </c>
      <c r="C648" s="90" t="s">
        <v>3500</v>
      </c>
      <c r="D648" s="90" t="s">
        <v>3500</v>
      </c>
      <c r="E648" s="90" t="s">
        <v>3500</v>
      </c>
      <c r="F648" s="90" t="s">
        <v>3500</v>
      </c>
      <c r="G648" s="90" t="s">
        <v>3500</v>
      </c>
    </row>
    <row r="649" spans="1:7" x14ac:dyDescent="0.25">
      <c r="A649" s="90" t="s">
        <v>3501</v>
      </c>
      <c r="B649" s="90" t="s">
        <v>3501</v>
      </c>
      <c r="C649" s="90" t="s">
        <v>3501</v>
      </c>
      <c r="D649" s="90" t="s">
        <v>3501</v>
      </c>
      <c r="E649" s="90" t="s">
        <v>3501</v>
      </c>
      <c r="F649" s="90" t="s">
        <v>3501</v>
      </c>
      <c r="G649" s="90" t="s">
        <v>3501</v>
      </c>
    </row>
    <row r="650" spans="1:7" x14ac:dyDescent="0.25">
      <c r="A650" s="90" t="s">
        <v>3502</v>
      </c>
      <c r="B650" s="90" t="s">
        <v>3502</v>
      </c>
      <c r="C650" s="90" t="s">
        <v>3502</v>
      </c>
      <c r="D650" s="90" t="s">
        <v>3502</v>
      </c>
      <c r="E650" s="90" t="s">
        <v>3502</v>
      </c>
      <c r="F650" s="90" t="s">
        <v>3502</v>
      </c>
      <c r="G650" s="90" t="s">
        <v>3502</v>
      </c>
    </row>
    <row r="651" spans="1:7" x14ac:dyDescent="0.25">
      <c r="A651" s="90" t="s">
        <v>3503</v>
      </c>
      <c r="B651" s="90" t="s">
        <v>3503</v>
      </c>
      <c r="C651" s="90" t="s">
        <v>3503</v>
      </c>
      <c r="D651" s="90" t="s">
        <v>3503</v>
      </c>
      <c r="E651" s="90" t="s">
        <v>3503</v>
      </c>
      <c r="F651" s="90" t="s">
        <v>3503</v>
      </c>
      <c r="G651" s="90" t="s">
        <v>3503</v>
      </c>
    </row>
    <row r="652" spans="1:7" x14ac:dyDescent="0.25">
      <c r="A652" s="90" t="s">
        <v>3504</v>
      </c>
      <c r="B652" s="90" t="s">
        <v>3504</v>
      </c>
      <c r="C652" s="90" t="s">
        <v>3504</v>
      </c>
      <c r="D652" s="90" t="s">
        <v>3504</v>
      </c>
      <c r="E652" s="90" t="s">
        <v>3504</v>
      </c>
      <c r="F652" s="90" t="s">
        <v>3504</v>
      </c>
      <c r="G652" s="90" t="s">
        <v>3504</v>
      </c>
    </row>
    <row r="653" spans="1:7" x14ac:dyDescent="0.25">
      <c r="A653" s="90" t="s">
        <v>3505</v>
      </c>
      <c r="B653" s="90" t="s">
        <v>3505</v>
      </c>
      <c r="C653" s="90" t="s">
        <v>3505</v>
      </c>
      <c r="D653" s="90" t="s">
        <v>3505</v>
      </c>
      <c r="E653" s="90" t="s">
        <v>3505</v>
      </c>
      <c r="F653" s="90" t="s">
        <v>3505</v>
      </c>
      <c r="G653" s="90" t="s">
        <v>3505</v>
      </c>
    </row>
    <row r="654" spans="1:7" x14ac:dyDescent="0.25">
      <c r="A654" s="90" t="s">
        <v>3506</v>
      </c>
      <c r="B654" s="90" t="s">
        <v>3506</v>
      </c>
      <c r="C654" s="90" t="s">
        <v>3506</v>
      </c>
      <c r="D654" s="90" t="s">
        <v>3506</v>
      </c>
      <c r="E654" s="90" t="s">
        <v>3506</v>
      </c>
      <c r="F654" s="90" t="s">
        <v>3506</v>
      </c>
      <c r="G654" s="90" t="s">
        <v>3506</v>
      </c>
    </row>
    <row r="655" spans="1:7" x14ac:dyDescent="0.25">
      <c r="A655" s="90" t="s">
        <v>3507</v>
      </c>
      <c r="B655" s="90" t="s">
        <v>3507</v>
      </c>
      <c r="C655" s="90" t="s">
        <v>3507</v>
      </c>
      <c r="D655" s="90" t="s">
        <v>3507</v>
      </c>
      <c r="E655" s="90" t="s">
        <v>3507</v>
      </c>
      <c r="F655" s="90" t="s">
        <v>3507</v>
      </c>
      <c r="G655" s="90" t="s">
        <v>3507</v>
      </c>
    </row>
    <row r="656" spans="1:7" x14ac:dyDescent="0.25">
      <c r="A656" s="90" t="s">
        <v>3508</v>
      </c>
      <c r="B656" s="90" t="s">
        <v>3508</v>
      </c>
      <c r="C656" s="90" t="s">
        <v>3508</v>
      </c>
      <c r="D656" s="90" t="s">
        <v>3508</v>
      </c>
      <c r="E656" s="90" t="s">
        <v>3508</v>
      </c>
      <c r="F656" s="90" t="s">
        <v>3508</v>
      </c>
      <c r="G656" s="90" t="s">
        <v>3508</v>
      </c>
    </row>
    <row r="657" spans="1:7" x14ac:dyDescent="0.25">
      <c r="A657" s="90" t="s">
        <v>3509</v>
      </c>
      <c r="B657" s="90" t="s">
        <v>3509</v>
      </c>
      <c r="C657" s="90" t="s">
        <v>3509</v>
      </c>
      <c r="D657" s="90" t="s">
        <v>3509</v>
      </c>
      <c r="E657" s="90" t="s">
        <v>3509</v>
      </c>
      <c r="F657" s="90" t="s">
        <v>3509</v>
      </c>
      <c r="G657" s="90" t="s">
        <v>3509</v>
      </c>
    </row>
    <row r="658" spans="1:7" x14ac:dyDescent="0.25">
      <c r="A658" s="90" t="s">
        <v>3510</v>
      </c>
      <c r="B658" s="90" t="s">
        <v>3510</v>
      </c>
      <c r="C658" s="90" t="s">
        <v>3510</v>
      </c>
      <c r="D658" s="90" t="s">
        <v>3510</v>
      </c>
      <c r="E658" s="90" t="s">
        <v>3510</v>
      </c>
      <c r="F658" s="90" t="s">
        <v>3510</v>
      </c>
      <c r="G658" s="90" t="s">
        <v>3510</v>
      </c>
    </row>
    <row r="663" spans="1:7" ht="18.5" x14ac:dyDescent="0.25">
      <c r="A663" t="s">
        <v>3361</v>
      </c>
      <c r="B663" s="557" t="s">
        <v>3337</v>
      </c>
      <c r="C663" t="s">
        <v>3388</v>
      </c>
      <c r="D663" t="s">
        <v>3361</v>
      </c>
      <c r="E663" t="s">
        <v>3444</v>
      </c>
      <c r="F663" t="s">
        <v>3473</v>
      </c>
      <c r="G663" s="90" t="str">
        <f t="shared" ref="G663:G664" si="17">IF($C$1="IT",A663,IF($C$1="DE",B663,IF($C$1="FR",C663,IF($C$1="PT",D663,IF($C$1="RU",E663,IF($C$1="EN",F663,A663))))))</f>
        <v>Proposta</v>
      </c>
    </row>
    <row r="664" spans="1:7" x14ac:dyDescent="0.25">
      <c r="A664" s="90" t="s">
        <v>3511</v>
      </c>
      <c r="B664" t="s">
        <v>3512</v>
      </c>
      <c r="C664" t="s">
        <v>3513</v>
      </c>
      <c r="D664" t="s">
        <v>3514</v>
      </c>
      <c r="E664" t="s">
        <v>3515</v>
      </c>
      <c r="F664" t="s">
        <v>3516</v>
      </c>
      <c r="G664" s="90" t="str">
        <f t="shared" si="17"/>
        <v>Attuale</v>
      </c>
    </row>
    <row r="665" spans="1:7" ht="18.5" x14ac:dyDescent="0.25">
      <c r="A665" t="s">
        <v>3517</v>
      </c>
      <c r="B665" s="557" t="s">
        <v>3335</v>
      </c>
      <c r="C665" t="s">
        <v>3524</v>
      </c>
      <c r="D665" t="s">
        <v>3517</v>
      </c>
      <c r="E665" t="s">
        <v>3528</v>
      </c>
      <c r="F665" t="s">
        <v>3532</v>
      </c>
      <c r="G665" s="90" t="str">
        <f t="shared" ref="G665:G668" si="18">IF($C$1="IT",A665,IF($C$1="DE",B665,IF($C$1="FR",C665,IF($C$1="PT",D665,IF($C$1="RU",E665,IF($C$1="EN",F665,A665))))))</f>
        <v>Proposta 1</v>
      </c>
    </row>
    <row r="666" spans="1:7" ht="18.5" x14ac:dyDescent="0.25">
      <c r="A666" t="s">
        <v>3518</v>
      </c>
      <c r="B666" s="557" t="s">
        <v>3521</v>
      </c>
      <c r="C666" t="s">
        <v>3525</v>
      </c>
      <c r="D666" t="s">
        <v>3518</v>
      </c>
      <c r="E666" t="s">
        <v>3529</v>
      </c>
      <c r="F666" t="s">
        <v>3533</v>
      </c>
      <c r="G666" s="90" t="str">
        <f t="shared" si="18"/>
        <v>Proposta 2</v>
      </c>
    </row>
    <row r="667" spans="1:7" ht="18.5" x14ac:dyDescent="0.25">
      <c r="A667" t="s">
        <v>3519</v>
      </c>
      <c r="B667" s="557" t="s">
        <v>3522</v>
      </c>
      <c r="C667" t="s">
        <v>3526</v>
      </c>
      <c r="D667" t="s">
        <v>3519</v>
      </c>
      <c r="E667" t="s">
        <v>3530</v>
      </c>
      <c r="F667" t="s">
        <v>3534</v>
      </c>
      <c r="G667" s="90" t="str">
        <f t="shared" si="18"/>
        <v>Proposta 3</v>
      </c>
    </row>
    <row r="668" spans="1:7" ht="18.5" x14ac:dyDescent="0.25">
      <c r="A668" t="s">
        <v>3520</v>
      </c>
      <c r="B668" s="557" t="s">
        <v>3523</v>
      </c>
      <c r="C668" t="s">
        <v>3527</v>
      </c>
      <c r="D668" t="s">
        <v>3520</v>
      </c>
      <c r="E668" t="s">
        <v>3531</v>
      </c>
      <c r="F668" t="s">
        <v>3535</v>
      </c>
      <c r="G668" s="90" t="str">
        <f t="shared" si="18"/>
        <v>Proposta 4</v>
      </c>
    </row>
    <row r="671" spans="1:7" x14ac:dyDescent="0.25">
      <c r="A671" t="s">
        <v>3536</v>
      </c>
      <c r="B671" t="s">
        <v>3539</v>
      </c>
      <c r="C671" t="s">
        <v>3542</v>
      </c>
      <c r="D671" t="s">
        <v>3545</v>
      </c>
      <c r="E671" t="s">
        <v>3548</v>
      </c>
      <c r="F671" t="s">
        <v>3551</v>
      </c>
      <c r="G671" s="90" t="str">
        <f t="shared" ref="G671:G690" si="19">IF($C$1="IT",A671,IF($C$1="DE",B671,IF($C$1="FR",C671,IF($C$1="PT",D671,IF($C$1="RU",E671,IF($C$1="EN",F671,A671))))))</f>
        <v>Costi della polizza/conto</v>
      </c>
    </row>
    <row r="672" spans="1:7" x14ac:dyDescent="0.25">
      <c r="A672" t="s">
        <v>3537</v>
      </c>
      <c r="B672" t="s">
        <v>3540</v>
      </c>
      <c r="C672" t="s">
        <v>3543</v>
      </c>
      <c r="D672" t="s">
        <v>3546</v>
      </c>
      <c r="E672" t="s">
        <v>3549</v>
      </c>
      <c r="F672" t="s">
        <v>3552</v>
      </c>
      <c r="G672" s="90" t="str">
        <f t="shared" si="19"/>
        <v>Costi del fondo (TER)</v>
      </c>
    </row>
    <row r="673" spans="1:7" x14ac:dyDescent="0.25">
      <c r="A673" t="s">
        <v>3538</v>
      </c>
      <c r="B673" t="s">
        <v>3541</v>
      </c>
      <c r="C673" t="s">
        <v>3544</v>
      </c>
      <c r="D673" t="s">
        <v>3547</v>
      </c>
      <c r="E673" t="s">
        <v>3550</v>
      </c>
      <c r="F673" t="s">
        <v>3553</v>
      </c>
      <c r="G673" s="90" t="str">
        <f t="shared" si="19"/>
        <v>Costi totali Polizza/conto + TER fondo</v>
      </c>
    </row>
    <row r="675" spans="1:7" x14ac:dyDescent="0.25">
      <c r="A675" s="90" t="s">
        <v>3561</v>
      </c>
      <c r="B675" t="s">
        <v>3571</v>
      </c>
      <c r="C675" t="s">
        <v>3581</v>
      </c>
      <c r="D675" t="s">
        <v>3591</v>
      </c>
      <c r="E675" t="s">
        <v>3601</v>
      </c>
      <c r="F675" t="s">
        <v>3611</v>
      </c>
      <c r="G675" s="90" t="str">
        <f t="shared" si="19"/>
        <v>1 anno</v>
      </c>
    </row>
    <row r="676" spans="1:7" x14ac:dyDescent="0.25">
      <c r="A676" s="90" t="s">
        <v>3562</v>
      </c>
      <c r="B676" t="s">
        <v>3572</v>
      </c>
      <c r="C676" t="s">
        <v>3582</v>
      </c>
      <c r="D676" t="s">
        <v>3592</v>
      </c>
      <c r="E676" t="s">
        <v>3602</v>
      </c>
      <c r="F676" t="s">
        <v>3612</v>
      </c>
      <c r="G676" s="90" t="str">
        <f t="shared" si="19"/>
        <v>2 anni</v>
      </c>
    </row>
    <row r="677" spans="1:7" x14ac:dyDescent="0.25">
      <c r="A677" s="90" t="s">
        <v>3563</v>
      </c>
      <c r="B677" t="s">
        <v>3573</v>
      </c>
      <c r="C677" t="s">
        <v>3583</v>
      </c>
      <c r="D677" t="s">
        <v>3593</v>
      </c>
      <c r="E677" t="s">
        <v>3603</v>
      </c>
      <c r="F677" t="s">
        <v>3613</v>
      </c>
      <c r="G677" s="90" t="str">
        <f t="shared" si="19"/>
        <v>3 anni</v>
      </c>
    </row>
    <row r="678" spans="1:7" x14ac:dyDescent="0.25">
      <c r="A678" s="90" t="s">
        <v>3564</v>
      </c>
      <c r="B678" t="s">
        <v>3574</v>
      </c>
      <c r="C678" t="s">
        <v>3584</v>
      </c>
      <c r="D678" t="s">
        <v>3594</v>
      </c>
      <c r="E678" t="s">
        <v>3604</v>
      </c>
      <c r="F678" t="s">
        <v>3614</v>
      </c>
      <c r="G678" s="90" t="str">
        <f t="shared" si="19"/>
        <v>4 anni</v>
      </c>
    </row>
    <row r="679" spans="1:7" x14ac:dyDescent="0.25">
      <c r="A679" s="90" t="s">
        <v>3565</v>
      </c>
      <c r="B679" t="s">
        <v>3575</v>
      </c>
      <c r="C679" t="s">
        <v>3585</v>
      </c>
      <c r="D679" t="s">
        <v>3595</v>
      </c>
      <c r="E679" t="s">
        <v>3605</v>
      </c>
      <c r="F679" t="s">
        <v>3615</v>
      </c>
      <c r="G679" s="90" t="str">
        <f t="shared" si="19"/>
        <v>5 anni</v>
      </c>
    </row>
    <row r="680" spans="1:7" x14ac:dyDescent="0.25">
      <c r="A680" s="90" t="s">
        <v>3566</v>
      </c>
      <c r="B680" t="s">
        <v>3576</v>
      </c>
      <c r="C680" t="s">
        <v>3586</v>
      </c>
      <c r="D680" t="s">
        <v>3596</v>
      </c>
      <c r="E680" t="s">
        <v>3606</v>
      </c>
      <c r="F680" t="s">
        <v>3616</v>
      </c>
      <c r="G680" s="90" t="str">
        <f t="shared" si="19"/>
        <v>6 anni</v>
      </c>
    </row>
    <row r="681" spans="1:7" x14ac:dyDescent="0.25">
      <c r="A681" s="90" t="s">
        <v>3567</v>
      </c>
      <c r="B681" t="s">
        <v>3577</v>
      </c>
      <c r="C681" t="s">
        <v>3587</v>
      </c>
      <c r="D681" t="s">
        <v>3597</v>
      </c>
      <c r="E681" t="s">
        <v>3607</v>
      </c>
      <c r="F681" t="s">
        <v>3617</v>
      </c>
      <c r="G681" s="90" t="str">
        <f t="shared" si="19"/>
        <v>7 anni</v>
      </c>
    </row>
    <row r="682" spans="1:7" x14ac:dyDescent="0.25">
      <c r="A682" s="90" t="s">
        <v>3570</v>
      </c>
      <c r="B682" t="s">
        <v>3578</v>
      </c>
      <c r="C682" t="s">
        <v>3588</v>
      </c>
      <c r="D682" t="s">
        <v>3598</v>
      </c>
      <c r="E682" t="s">
        <v>3608</v>
      </c>
      <c r="F682" t="s">
        <v>3618</v>
      </c>
      <c r="G682" s="90" t="str">
        <f t="shared" si="19"/>
        <v>8 anni</v>
      </c>
    </row>
    <row r="683" spans="1:7" x14ac:dyDescent="0.25">
      <c r="A683" s="90" t="s">
        <v>3568</v>
      </c>
      <c r="B683" t="s">
        <v>3579</v>
      </c>
      <c r="C683" t="s">
        <v>3589</v>
      </c>
      <c r="D683" t="s">
        <v>3599</v>
      </c>
      <c r="E683" t="s">
        <v>3609</v>
      </c>
      <c r="F683" t="s">
        <v>3619</v>
      </c>
      <c r="G683" s="90" t="str">
        <f t="shared" si="19"/>
        <v>9 anni</v>
      </c>
    </row>
    <row r="684" spans="1:7" x14ac:dyDescent="0.25">
      <c r="A684" s="90" t="s">
        <v>3569</v>
      </c>
      <c r="B684" t="s">
        <v>3580</v>
      </c>
      <c r="C684" t="s">
        <v>3590</v>
      </c>
      <c r="D684" t="s">
        <v>3600</v>
      </c>
      <c r="E684" t="s">
        <v>3610</v>
      </c>
      <c r="F684" t="s">
        <v>3620</v>
      </c>
      <c r="G684" s="90" t="str">
        <f t="shared" si="19"/>
        <v>10 anni</v>
      </c>
    </row>
    <row r="685" spans="1:7" x14ac:dyDescent="0.25">
      <c r="A685" t="s">
        <v>3621</v>
      </c>
      <c r="B685" t="s">
        <v>3627</v>
      </c>
      <c r="C685" t="s">
        <v>3633</v>
      </c>
      <c r="D685" t="s">
        <v>3639</v>
      </c>
      <c r="E685" t="s">
        <v>3645</v>
      </c>
      <c r="F685" t="s">
        <v>3651</v>
      </c>
      <c r="G685" s="90" t="str">
        <f t="shared" si="19"/>
        <v>15 anni</v>
      </c>
    </row>
    <row r="686" spans="1:7" x14ac:dyDescent="0.25">
      <c r="A686" t="s">
        <v>3622</v>
      </c>
      <c r="B686" t="s">
        <v>3628</v>
      </c>
      <c r="C686" t="s">
        <v>3634</v>
      </c>
      <c r="D686" t="s">
        <v>3640</v>
      </c>
      <c r="E686" t="s">
        <v>3646</v>
      </c>
      <c r="F686" t="s">
        <v>3652</v>
      </c>
      <c r="G686" s="90" t="str">
        <f t="shared" si="19"/>
        <v>20 anni</v>
      </c>
    </row>
    <row r="687" spans="1:7" x14ac:dyDescent="0.25">
      <c r="A687" t="s">
        <v>3623</v>
      </c>
      <c r="B687" t="s">
        <v>3629</v>
      </c>
      <c r="C687" t="s">
        <v>3635</v>
      </c>
      <c r="D687" t="s">
        <v>3641</v>
      </c>
      <c r="E687" t="s">
        <v>3647</v>
      </c>
      <c r="F687" t="s">
        <v>3653</v>
      </c>
      <c r="G687" s="90" t="str">
        <f t="shared" si="19"/>
        <v>25 anni</v>
      </c>
    </row>
    <row r="688" spans="1:7" x14ac:dyDescent="0.25">
      <c r="A688" t="s">
        <v>3624</v>
      </c>
      <c r="B688" t="s">
        <v>3630</v>
      </c>
      <c r="C688" t="s">
        <v>3636</v>
      </c>
      <c r="D688" t="s">
        <v>3642</v>
      </c>
      <c r="E688" t="s">
        <v>3648</v>
      </c>
      <c r="F688" t="s">
        <v>3654</v>
      </c>
      <c r="G688" s="90" t="str">
        <f t="shared" si="19"/>
        <v>30 anni</v>
      </c>
    </row>
    <row r="689" spans="1:10" x14ac:dyDescent="0.25">
      <c r="A689" t="s">
        <v>3625</v>
      </c>
      <c r="B689" t="s">
        <v>3631</v>
      </c>
      <c r="C689" t="s">
        <v>3637</v>
      </c>
      <c r="D689" t="s">
        <v>3643</v>
      </c>
      <c r="E689" t="s">
        <v>3649</v>
      </c>
      <c r="F689" t="s">
        <v>3655</v>
      </c>
      <c r="G689" s="90" t="str">
        <f t="shared" si="19"/>
        <v>35 anni</v>
      </c>
    </row>
    <row r="690" spans="1:10" x14ac:dyDescent="0.25">
      <c r="A690" t="s">
        <v>3626</v>
      </c>
      <c r="B690" t="s">
        <v>3632</v>
      </c>
      <c r="C690" t="s">
        <v>3638</v>
      </c>
      <c r="D690" t="s">
        <v>3644</v>
      </c>
      <c r="E690" t="s">
        <v>3650</v>
      </c>
      <c r="F690" t="s">
        <v>3656</v>
      </c>
      <c r="G690" s="90" t="str">
        <f t="shared" si="19"/>
        <v>40 anni</v>
      </c>
    </row>
    <row r="693" spans="1:10" x14ac:dyDescent="0.25">
      <c r="A693" s="90" t="s">
        <v>3657</v>
      </c>
      <c r="B693" t="s">
        <v>3663</v>
      </c>
      <c r="C693" t="s">
        <v>3669</v>
      </c>
      <c r="D693" t="s">
        <v>3675</v>
      </c>
      <c r="E693" t="s">
        <v>3681</v>
      </c>
      <c r="F693" t="s">
        <v>3687</v>
      </c>
      <c r="G693" s="90" t="str">
        <f t="shared" ref="G693:G698" si="20">IF($C$1="IT",A693,IF($C$1="DE",B693,IF($C$1="FR",C693,IF($C$1="PT",D693,IF($C$1="RU",E693,IF($C$1="EN",F693,A693))))))</f>
        <v>0.-- / mese</v>
      </c>
    </row>
    <row r="694" spans="1:10" x14ac:dyDescent="0.25">
      <c r="A694" s="90" t="s">
        <v>3660</v>
      </c>
      <c r="B694" t="s">
        <v>3664</v>
      </c>
      <c r="C694" t="s">
        <v>3670</v>
      </c>
      <c r="D694" t="s">
        <v>3676</v>
      </c>
      <c r="E694" t="s">
        <v>3682</v>
      </c>
      <c r="F694" t="s">
        <v>3688</v>
      </c>
      <c r="G694" s="90" t="str">
        <f t="shared" si="20"/>
        <v>33.--/ mese (100.-- / trimestre)</v>
      </c>
    </row>
    <row r="695" spans="1:10" x14ac:dyDescent="0.25">
      <c r="A695" s="90" t="s">
        <v>3659</v>
      </c>
      <c r="B695" t="s">
        <v>3665</v>
      </c>
      <c r="C695" t="s">
        <v>3671</v>
      </c>
      <c r="D695" t="s">
        <v>3677</v>
      </c>
      <c r="E695" t="s">
        <v>3683</v>
      </c>
      <c r="F695" t="s">
        <v>3689</v>
      </c>
      <c r="G695" s="90" t="str">
        <f t="shared" si="20"/>
        <v>50.--/ mese</v>
      </c>
    </row>
    <row r="696" spans="1:10" x14ac:dyDescent="0.25">
      <c r="A696" s="90" t="s">
        <v>3658</v>
      </c>
      <c r="B696" t="s">
        <v>3666</v>
      </c>
      <c r="C696" t="s">
        <v>3672</v>
      </c>
      <c r="D696" t="s">
        <v>3678</v>
      </c>
      <c r="E696" t="s">
        <v>3684</v>
      </c>
      <c r="F696" t="s">
        <v>3690</v>
      </c>
      <c r="G696" s="90" t="str">
        <f t="shared" si="20"/>
        <v>100.--/ mese</v>
      </c>
    </row>
    <row r="697" spans="1:10" x14ac:dyDescent="0.25">
      <c r="A697" s="90" t="s">
        <v>3661</v>
      </c>
      <c r="B697" t="s">
        <v>3667</v>
      </c>
      <c r="C697" t="s">
        <v>3673</v>
      </c>
      <c r="D697" t="s">
        <v>3679</v>
      </c>
      <c r="E697" t="s">
        <v>3685</v>
      </c>
      <c r="F697" t="s">
        <v>3691</v>
      </c>
      <c r="G697" s="90" t="str">
        <f t="shared" si="20"/>
        <v>150.--/ mese</v>
      </c>
    </row>
    <row r="698" spans="1:10" x14ac:dyDescent="0.25">
      <c r="A698" s="90" t="s">
        <v>3662</v>
      </c>
      <c r="B698" t="s">
        <v>3668</v>
      </c>
      <c r="C698" t="s">
        <v>3674</v>
      </c>
      <c r="D698" t="s">
        <v>3680</v>
      </c>
      <c r="E698" t="s">
        <v>3686</v>
      </c>
      <c r="F698" t="s">
        <v>3692</v>
      </c>
      <c r="G698" s="90" t="str">
        <f t="shared" si="20"/>
        <v>250.--/ mese</v>
      </c>
    </row>
    <row r="701" spans="1:10" ht="13" thickBot="1" x14ac:dyDescent="0.3">
      <c r="A701" s="90" t="s">
        <v>3760</v>
      </c>
      <c r="B701" t="s">
        <v>3761</v>
      </c>
      <c r="C701" t="s">
        <v>3794</v>
      </c>
      <c r="D701" t="s">
        <v>3830</v>
      </c>
      <c r="E701" t="s">
        <v>3864</v>
      </c>
      <c r="F701" t="s">
        <v>3902</v>
      </c>
      <c r="G701" s="90" t="str">
        <f t="shared" ref="G701:G765" si="21">IF($C$1="IT",A701,IF($C$1="DE",B701,IF($C$1="FR",C701,IF($C$1="PT",D701,IF($C$1="RU",E701,IF($C$1="EN",F701,A701))))))</f>
        <v>PMI ANALISI AZIENDALE</v>
      </c>
    </row>
    <row r="702" spans="1:10" ht="13.5" thickBot="1" x14ac:dyDescent="0.3">
      <c r="A702" s="806" t="s">
        <v>3703</v>
      </c>
      <c r="B702" t="s">
        <v>3762</v>
      </c>
      <c r="C702" t="s">
        <v>3795</v>
      </c>
      <c r="D702" t="s">
        <v>3831</v>
      </c>
      <c r="E702" t="s">
        <v>3865</v>
      </c>
      <c r="F702" t="s">
        <v>3903</v>
      </c>
      <c r="G702" s="90" t="str">
        <f t="shared" si="21"/>
        <v>Tipologia di rischio</v>
      </c>
      <c r="H702" s="809"/>
      <c r="I702" s="808"/>
      <c r="J702" s="809"/>
    </row>
    <row r="703" spans="1:10" ht="13.5" thickBot="1" x14ac:dyDescent="0.35">
      <c r="A703" s="807" t="s">
        <v>3704</v>
      </c>
      <c r="B703" t="s">
        <v>3763</v>
      </c>
      <c r="C703" t="s">
        <v>3796</v>
      </c>
      <c r="D703" t="s">
        <v>3832</v>
      </c>
      <c r="E703" t="s">
        <v>3866</v>
      </c>
      <c r="F703" t="s">
        <v>3904</v>
      </c>
      <c r="G703" s="90" t="str">
        <f t="shared" si="21"/>
        <v>Copertura assicurata</v>
      </c>
    </row>
    <row r="704" spans="1:10" ht="13.5" thickBot="1" x14ac:dyDescent="0.35">
      <c r="A704" s="801" t="s">
        <v>3705</v>
      </c>
      <c r="B704" t="s">
        <v>3764</v>
      </c>
      <c r="C704" t="s">
        <v>3797</v>
      </c>
      <c r="D704" t="s">
        <v>3833</v>
      </c>
      <c r="E704" t="s">
        <v>3867</v>
      </c>
      <c r="F704" t="s">
        <v>3905</v>
      </c>
      <c r="G704" s="90" t="str">
        <f t="shared" si="21"/>
        <v>Rischio Max.</v>
      </c>
    </row>
    <row r="705" spans="1:7" ht="13.5" thickBot="1" x14ac:dyDescent="0.35">
      <c r="A705" s="800" t="s">
        <v>3706</v>
      </c>
      <c r="B705" t="s">
        <v>3792</v>
      </c>
      <c r="C705" t="s">
        <v>3798</v>
      </c>
      <c r="D705" t="s">
        <v>3834</v>
      </c>
      <c r="E705" t="s">
        <v>3868</v>
      </c>
      <c r="F705" t="s">
        <v>3906</v>
      </c>
      <c r="G705" s="90" t="str">
        <f t="shared" si="21"/>
        <v>Compagnia ATTUALE</v>
      </c>
    </row>
    <row r="706" spans="1:7" ht="13.5" thickBot="1" x14ac:dyDescent="0.35">
      <c r="A706" s="801" t="s">
        <v>3707</v>
      </c>
      <c r="B706" t="s">
        <v>3765</v>
      </c>
      <c r="C706" t="s">
        <v>3799</v>
      </c>
      <c r="D706" t="s">
        <v>3835</v>
      </c>
      <c r="E706" t="s">
        <v>3869</v>
      </c>
      <c r="F706" t="s">
        <v>3907</v>
      </c>
      <c r="G706" s="90" t="str">
        <f t="shared" si="21"/>
        <v>Polizza N.</v>
      </c>
    </row>
    <row r="707" spans="1:7" ht="13.5" thickBot="1" x14ac:dyDescent="0.35">
      <c r="A707" s="802" t="s">
        <v>133</v>
      </c>
      <c r="B707" t="s">
        <v>3766</v>
      </c>
      <c r="C707" t="s">
        <v>3800</v>
      </c>
      <c r="D707" t="s">
        <v>3836</v>
      </c>
      <c r="E707" t="s">
        <v>3870</v>
      </c>
      <c r="F707" t="s">
        <v>3908</v>
      </c>
      <c r="G707" s="90" t="str">
        <f t="shared" si="21"/>
        <v>scadenza</v>
      </c>
    </row>
    <row r="708" spans="1:7" ht="13" thickBot="1" x14ac:dyDescent="0.3">
      <c r="A708" s="803" t="s">
        <v>3708</v>
      </c>
      <c r="B708" t="s">
        <v>4343</v>
      </c>
      <c r="C708" t="s">
        <v>3801</v>
      </c>
      <c r="D708" t="s">
        <v>3837</v>
      </c>
      <c r="E708" t="s">
        <v>3871</v>
      </c>
      <c r="F708" t="s">
        <v>3909</v>
      </c>
      <c r="G708" s="90" t="str">
        <f t="shared" si="21"/>
        <v>Somma ass. ATTUALE</v>
      </c>
    </row>
    <row r="709" spans="1:7" ht="13" thickBot="1" x14ac:dyDescent="0.3">
      <c r="A709" s="804" t="s">
        <v>3709</v>
      </c>
      <c r="B709" t="s">
        <v>4344</v>
      </c>
      <c r="C709" t="s">
        <v>3192</v>
      </c>
      <c r="D709" t="s">
        <v>3182</v>
      </c>
      <c r="E709" t="s">
        <v>3872</v>
      </c>
      <c r="F709" t="s">
        <v>3215</v>
      </c>
      <c r="G709" s="90" t="str">
        <f t="shared" si="21"/>
        <v>Somma ass. PROPOSTA</v>
      </c>
    </row>
    <row r="710" spans="1:7" ht="13" thickBot="1" x14ac:dyDescent="0.3">
      <c r="A710" s="803" t="s">
        <v>3710</v>
      </c>
      <c r="B710" t="s">
        <v>3793</v>
      </c>
      <c r="C710" t="s">
        <v>3802</v>
      </c>
      <c r="D710" t="s">
        <v>3838</v>
      </c>
      <c r="E710" t="s">
        <v>3873</v>
      </c>
      <c r="F710" t="s">
        <v>3910</v>
      </c>
      <c r="G710" s="90" t="str">
        <f t="shared" si="21"/>
        <v>Premio annuo ATTUALE</v>
      </c>
    </row>
    <row r="711" spans="1:7" ht="13" thickBot="1" x14ac:dyDescent="0.3">
      <c r="A711" s="805" t="s">
        <v>3711</v>
      </c>
      <c r="B711" t="s">
        <v>4342</v>
      </c>
      <c r="C711" t="s">
        <v>3803</v>
      </c>
      <c r="D711" t="s">
        <v>3839</v>
      </c>
      <c r="E711" t="s">
        <v>3874</v>
      </c>
      <c r="F711" t="s">
        <v>3911</v>
      </c>
      <c r="G711" s="90" t="str">
        <f t="shared" si="21"/>
        <v>Premio annuo PROPOSTO</v>
      </c>
    </row>
    <row r="712" spans="1:7" ht="13" thickBot="1" x14ac:dyDescent="0.3">
      <c r="A712" s="810" t="s">
        <v>3712</v>
      </c>
      <c r="B712" t="s">
        <v>3243</v>
      </c>
      <c r="C712" t="s">
        <v>3804</v>
      </c>
      <c r="D712" t="s">
        <v>3840</v>
      </c>
      <c r="E712" t="s">
        <v>3875</v>
      </c>
      <c r="F712" t="s">
        <v>3912</v>
      </c>
      <c r="G712" s="90" t="str">
        <f t="shared" si="21"/>
        <v>Stabili</v>
      </c>
    </row>
    <row r="713" spans="1:7" ht="13" thickBot="1" x14ac:dyDescent="0.3">
      <c r="A713" s="810" t="s">
        <v>3717</v>
      </c>
      <c r="B713" t="s">
        <v>3969</v>
      </c>
      <c r="C713" t="s">
        <v>3805</v>
      </c>
      <c r="D713" t="s">
        <v>3841</v>
      </c>
      <c r="E713" t="s">
        <v>3876</v>
      </c>
      <c r="F713" t="s">
        <v>3913</v>
      </c>
      <c r="G713" s="90" t="str">
        <f t="shared" si="21"/>
        <v>Beni mobili</v>
      </c>
    </row>
    <row r="714" spans="1:7" ht="13" thickBot="1" x14ac:dyDescent="0.3">
      <c r="A714" s="811" t="s">
        <v>3730</v>
      </c>
      <c r="B714" t="s">
        <v>3970</v>
      </c>
      <c r="C714" t="s">
        <v>3806</v>
      </c>
      <c r="D714" t="s">
        <v>3842</v>
      </c>
      <c r="E714" t="s">
        <v>3877</v>
      </c>
      <c r="F714" t="s">
        <v>3914</v>
      </c>
      <c r="G714" s="90" t="str">
        <f t="shared" si="21"/>
        <v>Assicurazioni tecniche</v>
      </c>
    </row>
    <row r="715" spans="1:7" x14ac:dyDescent="0.25">
      <c r="A715" s="798" t="s">
        <v>3225</v>
      </c>
      <c r="B715" t="s">
        <v>3768</v>
      </c>
      <c r="C715" t="s">
        <v>3807</v>
      </c>
      <c r="D715" t="s">
        <v>3843</v>
      </c>
      <c r="E715" t="s">
        <v>3878</v>
      </c>
      <c r="F715" t="s">
        <v>3915</v>
      </c>
      <c r="G715" s="90" t="str">
        <f t="shared" si="21"/>
        <v>Incendio/Natura</v>
      </c>
    </row>
    <row r="716" spans="1:7" x14ac:dyDescent="0.25">
      <c r="A716" s="793" t="s">
        <v>3226</v>
      </c>
      <c r="B716" t="s">
        <v>3239</v>
      </c>
      <c r="C716" t="s">
        <v>3808</v>
      </c>
      <c r="D716" t="s">
        <v>3258</v>
      </c>
      <c r="E716" t="s">
        <v>3879</v>
      </c>
      <c r="F716" t="s">
        <v>3916</v>
      </c>
      <c r="G716" s="90" t="str">
        <f t="shared" si="21"/>
        <v>Danni acque</v>
      </c>
    </row>
    <row r="717" spans="1:7" x14ac:dyDescent="0.25">
      <c r="A717" s="793" t="s">
        <v>3227</v>
      </c>
      <c r="B717" t="s">
        <v>3769</v>
      </c>
      <c r="C717" t="s">
        <v>3249</v>
      </c>
      <c r="D717" t="s">
        <v>3259</v>
      </c>
      <c r="E717" t="s">
        <v>3880</v>
      </c>
      <c r="F717" t="s">
        <v>3917</v>
      </c>
      <c r="G717" s="90" t="str">
        <f t="shared" si="21"/>
        <v>Rottura vetri</v>
      </c>
    </row>
    <row r="718" spans="1:7" ht="13" thickBot="1" x14ac:dyDescent="0.3">
      <c r="A718" s="797" t="s">
        <v>3228</v>
      </c>
      <c r="B718" t="s">
        <v>3241</v>
      </c>
      <c r="C718" t="s">
        <v>3250</v>
      </c>
      <c r="D718" t="s">
        <v>3260</v>
      </c>
      <c r="E718" t="s">
        <v>3271</v>
      </c>
      <c r="F718" t="s">
        <v>3283</v>
      </c>
      <c r="G718" s="90" t="str">
        <f t="shared" si="21"/>
        <v>Furto</v>
      </c>
    </row>
    <row r="719" spans="1:7" x14ac:dyDescent="0.25">
      <c r="A719" s="798" t="s">
        <v>3225</v>
      </c>
      <c r="B719" t="s">
        <v>3768</v>
      </c>
      <c r="C719" t="s">
        <v>3807</v>
      </c>
      <c r="D719" t="s">
        <v>3843</v>
      </c>
      <c r="E719" t="s">
        <v>3878</v>
      </c>
      <c r="F719" t="s">
        <v>3915</v>
      </c>
      <c r="G719" s="90" t="str">
        <f t="shared" si="21"/>
        <v>Incendio/Natura</v>
      </c>
    </row>
    <row r="720" spans="1:7" x14ac:dyDescent="0.25">
      <c r="A720" s="793" t="s">
        <v>3226</v>
      </c>
      <c r="B720" t="s">
        <v>3239</v>
      </c>
      <c r="C720" t="s">
        <v>3808</v>
      </c>
      <c r="D720" t="s">
        <v>3258</v>
      </c>
      <c r="E720" t="s">
        <v>3879</v>
      </c>
      <c r="F720" t="s">
        <v>3916</v>
      </c>
      <c r="G720" s="90" t="str">
        <f t="shared" si="21"/>
        <v>Danni acque</v>
      </c>
    </row>
    <row r="721" spans="1:7" x14ac:dyDescent="0.25">
      <c r="A721" s="793" t="s">
        <v>3227</v>
      </c>
      <c r="B721" t="s">
        <v>3769</v>
      </c>
      <c r="C721" t="s">
        <v>3249</v>
      </c>
      <c r="D721" t="s">
        <v>3259</v>
      </c>
      <c r="E721" t="s">
        <v>3880</v>
      </c>
      <c r="F721" t="s">
        <v>3917</v>
      </c>
      <c r="G721" s="90" t="str">
        <f t="shared" si="21"/>
        <v>Rottura vetri</v>
      </c>
    </row>
    <row r="722" spans="1:7" x14ac:dyDescent="0.25">
      <c r="A722" s="793" t="s">
        <v>3228</v>
      </c>
      <c r="B722" t="s">
        <v>3241</v>
      </c>
      <c r="C722" t="s">
        <v>3250</v>
      </c>
      <c r="D722" t="s">
        <v>3260</v>
      </c>
      <c r="E722" t="s">
        <v>3271</v>
      </c>
      <c r="F722" t="s">
        <v>3283</v>
      </c>
      <c r="G722" s="90" t="str">
        <f t="shared" si="21"/>
        <v>Furto</v>
      </c>
    </row>
    <row r="723" spans="1:7" x14ac:dyDescent="0.25">
      <c r="A723" s="795" t="s">
        <v>3715</v>
      </c>
      <c r="B723" t="s">
        <v>3770</v>
      </c>
      <c r="C723" t="s">
        <v>3809</v>
      </c>
      <c r="D723" t="s">
        <v>3844</v>
      </c>
      <c r="E723" t="s">
        <v>3881</v>
      </c>
      <c r="F723" t="s">
        <v>3918</v>
      </c>
      <c r="G723" s="90" t="str">
        <f t="shared" si="21"/>
        <v>Perdita di esercizio</v>
      </c>
    </row>
    <row r="724" spans="1:7" ht="13" thickBot="1" x14ac:dyDescent="0.3">
      <c r="A724" s="799" t="s">
        <v>3752</v>
      </c>
      <c r="B724" t="s">
        <v>3771</v>
      </c>
      <c r="C724" t="s">
        <v>3810</v>
      </c>
      <c r="D724" t="s">
        <v>3845</v>
      </c>
      <c r="E724" t="s">
        <v>3882</v>
      </c>
      <c r="F724" t="s">
        <v>3919</v>
      </c>
      <c r="G724" s="90" t="str">
        <f t="shared" si="21"/>
        <v>Danni di ripercussione</v>
      </c>
    </row>
    <row r="725" spans="1:7" x14ac:dyDescent="0.25">
      <c r="A725" s="798" t="s">
        <v>3742</v>
      </c>
      <c r="B725" t="s">
        <v>3772</v>
      </c>
      <c r="C725" t="s">
        <v>3811</v>
      </c>
      <c r="D725" t="s">
        <v>3846</v>
      </c>
      <c r="E725" t="s">
        <v>3883</v>
      </c>
      <c r="F725" t="s">
        <v>3920</v>
      </c>
      <c r="G725" s="90" t="str">
        <f t="shared" si="21"/>
        <v>Trasporti(Cose)</v>
      </c>
    </row>
    <row r="726" spans="1:7" ht="13" thickBot="1" x14ac:dyDescent="0.3">
      <c r="A726" s="797" t="s">
        <v>3743</v>
      </c>
      <c r="B726" t="s">
        <v>3773</v>
      </c>
      <c r="C726" t="s">
        <v>3812</v>
      </c>
      <c r="D726" t="s">
        <v>3847</v>
      </c>
      <c r="E726" t="s">
        <v>3884</v>
      </c>
      <c r="F726" t="s">
        <v>3921</v>
      </c>
      <c r="G726" s="90" t="str">
        <f t="shared" si="21"/>
        <v>Trasporti (RC)</v>
      </c>
    </row>
    <row r="727" spans="1:7" x14ac:dyDescent="0.25">
      <c r="A727" s="798" t="s">
        <v>3747</v>
      </c>
      <c r="B727" t="s">
        <v>3774</v>
      </c>
      <c r="C727" t="s">
        <v>3813</v>
      </c>
      <c r="D727" t="s">
        <v>3848</v>
      </c>
      <c r="E727" t="s">
        <v>3885</v>
      </c>
      <c r="F727" t="s">
        <v>3922</v>
      </c>
      <c r="G727" s="90" t="str">
        <f t="shared" si="21"/>
        <v>Impresa</v>
      </c>
    </row>
    <row r="728" spans="1:7" x14ac:dyDescent="0.25">
      <c r="A728" s="795" t="s">
        <v>3748</v>
      </c>
      <c r="B728" t="s">
        <v>3775</v>
      </c>
      <c r="C728" t="s">
        <v>3814</v>
      </c>
      <c r="D728" t="s">
        <v>3849</v>
      </c>
      <c r="E728" t="s">
        <v>3886</v>
      </c>
      <c r="F728" t="s">
        <v>3923</v>
      </c>
      <c r="G728" s="90" t="str">
        <f t="shared" si="21"/>
        <v>Professionale</v>
      </c>
    </row>
    <row r="729" spans="1:7" ht="13" thickBot="1" x14ac:dyDescent="0.3">
      <c r="A729" s="797" t="s">
        <v>3231</v>
      </c>
      <c r="B729" t="s">
        <v>3776</v>
      </c>
      <c r="C729" t="s">
        <v>3815</v>
      </c>
      <c r="D729" t="s">
        <v>3850</v>
      </c>
      <c r="E729" t="s">
        <v>3887</v>
      </c>
      <c r="F729" t="s">
        <v>3924</v>
      </c>
      <c r="G729" s="90" t="str">
        <f t="shared" si="21"/>
        <v>Stabile</v>
      </c>
    </row>
    <row r="730" spans="1:7" x14ac:dyDescent="0.25">
      <c r="A730" s="798" t="s">
        <v>3721</v>
      </c>
      <c r="B730" t="s">
        <v>3777</v>
      </c>
      <c r="C730" t="s">
        <v>3816</v>
      </c>
      <c r="D730" t="s">
        <v>3851</v>
      </c>
      <c r="E730" t="s">
        <v>3888</v>
      </c>
      <c r="F730" t="s">
        <v>3925</v>
      </c>
      <c r="G730" s="90" t="str">
        <f t="shared" si="21"/>
        <v>Extracontrattuale</v>
      </c>
    </row>
    <row r="731" spans="1:7" ht="13" thickBot="1" x14ac:dyDescent="0.3">
      <c r="A731" s="797" t="s">
        <v>3722</v>
      </c>
      <c r="B731" t="s">
        <v>3778</v>
      </c>
      <c r="C731" t="s">
        <v>3817</v>
      </c>
      <c r="D731" t="s">
        <v>3852</v>
      </c>
      <c r="E731" t="s">
        <v>3889</v>
      </c>
      <c r="F731" t="s">
        <v>3926</v>
      </c>
      <c r="G731" s="90" t="str">
        <f t="shared" si="21"/>
        <v>Contrattuale</v>
      </c>
    </row>
    <row r="732" spans="1:7" x14ac:dyDescent="0.25">
      <c r="A732" s="798" t="s">
        <v>3724</v>
      </c>
      <c r="B732" t="s">
        <v>3779</v>
      </c>
      <c r="C732" t="s">
        <v>3818</v>
      </c>
      <c r="D732" t="s">
        <v>3853</v>
      </c>
      <c r="E732" t="s">
        <v>3890</v>
      </c>
      <c r="F732" t="s">
        <v>3927</v>
      </c>
      <c r="G732" s="90" t="str">
        <f t="shared" si="21"/>
        <v>Decesso</v>
      </c>
    </row>
    <row r="733" spans="1:7" ht="13" thickBot="1" x14ac:dyDescent="0.3">
      <c r="A733" s="797" t="s">
        <v>3744</v>
      </c>
      <c r="B733" t="s">
        <v>3780</v>
      </c>
      <c r="C733" t="s">
        <v>3819</v>
      </c>
      <c r="D733" t="s">
        <v>3854</v>
      </c>
      <c r="E733" t="s">
        <v>3891</v>
      </c>
      <c r="F733" t="s">
        <v>3928</v>
      </c>
      <c r="G733" s="90" t="str">
        <f t="shared" si="21"/>
        <v>Invalidità</v>
      </c>
    </row>
    <row r="734" spans="1:7" x14ac:dyDescent="0.25">
      <c r="A734" s="798" t="s">
        <v>3727</v>
      </c>
      <c r="B734" t="s">
        <v>2553</v>
      </c>
      <c r="C734" t="s">
        <v>2547</v>
      </c>
      <c r="D734" t="s">
        <v>2547</v>
      </c>
      <c r="E734" t="s">
        <v>2547</v>
      </c>
      <c r="F734" t="s">
        <v>2547</v>
      </c>
      <c r="G734" s="90" t="str">
        <f t="shared" si="21"/>
        <v>Lanif</v>
      </c>
    </row>
    <row r="735" spans="1:7" x14ac:dyDescent="0.25">
      <c r="A735" s="795" t="s">
        <v>3745</v>
      </c>
      <c r="B735" t="s">
        <v>3781</v>
      </c>
      <c r="C735" t="s">
        <v>3820</v>
      </c>
      <c r="D735" t="s">
        <v>3855</v>
      </c>
      <c r="E735" t="s">
        <v>3892</v>
      </c>
      <c r="F735" t="s">
        <v>3929</v>
      </c>
      <c r="G735" s="90" t="str">
        <f t="shared" si="21"/>
        <v>Compl.Lainf</v>
      </c>
    </row>
    <row r="736" spans="1:7" x14ac:dyDescent="0.25">
      <c r="A736" s="793" t="s">
        <v>3728</v>
      </c>
      <c r="B736" t="s">
        <v>3782</v>
      </c>
      <c r="C736" t="s">
        <v>3821</v>
      </c>
      <c r="D736" t="s">
        <v>3856</v>
      </c>
      <c r="E736" t="s">
        <v>3893</v>
      </c>
      <c r="F736" t="s">
        <v>3930</v>
      </c>
      <c r="G736" s="90" t="str">
        <f t="shared" si="21"/>
        <v>P.G. Malattia</v>
      </c>
    </row>
    <row r="737" spans="1:7" ht="13" thickBot="1" x14ac:dyDescent="0.3">
      <c r="A737" s="797" t="s">
        <v>168</v>
      </c>
      <c r="B737" t="s">
        <v>2011</v>
      </c>
      <c r="C737" t="s">
        <v>168</v>
      </c>
      <c r="D737" t="s">
        <v>168</v>
      </c>
      <c r="E737" t="s">
        <v>168</v>
      </c>
      <c r="F737" t="s">
        <v>168</v>
      </c>
      <c r="G737" s="90" t="str">
        <f t="shared" si="21"/>
        <v>LPP</v>
      </c>
    </row>
    <row r="738" spans="1:7" x14ac:dyDescent="0.25">
      <c r="A738" s="798" t="s">
        <v>3749</v>
      </c>
      <c r="B738" t="s">
        <v>3783</v>
      </c>
      <c r="C738" t="s">
        <v>3822</v>
      </c>
      <c r="D738" t="s">
        <v>3857</v>
      </c>
      <c r="E738" t="s">
        <v>3894</v>
      </c>
      <c r="F738" t="s">
        <v>3822</v>
      </c>
      <c r="G738" s="90" t="str">
        <f t="shared" si="21"/>
        <v>Macchine</v>
      </c>
    </row>
    <row r="739" spans="1:7" x14ac:dyDescent="0.25">
      <c r="A739" s="793" t="s">
        <v>3731</v>
      </c>
      <c r="B739" t="s">
        <v>3784</v>
      </c>
      <c r="C739" t="s">
        <v>3784</v>
      </c>
      <c r="D739" t="s">
        <v>3858</v>
      </c>
      <c r="E739" t="s">
        <v>3895</v>
      </c>
      <c r="F739" t="s">
        <v>3931</v>
      </c>
      <c r="G739" s="90" t="str">
        <f t="shared" si="21"/>
        <v>Montaggio</v>
      </c>
    </row>
    <row r="740" spans="1:7" x14ac:dyDescent="0.25">
      <c r="A740" s="793" t="s">
        <v>3750</v>
      </c>
      <c r="B740" t="s">
        <v>3785</v>
      </c>
      <c r="C740" t="s">
        <v>3823</v>
      </c>
      <c r="D740" t="s">
        <v>3859</v>
      </c>
      <c r="E740" t="s">
        <v>3896</v>
      </c>
      <c r="F740" t="s">
        <v>3932</v>
      </c>
      <c r="G740" s="90" t="str">
        <f t="shared" si="21"/>
        <v>Casco macchine</v>
      </c>
    </row>
    <row r="741" spans="1:7" x14ac:dyDescent="0.25">
      <c r="A741" s="793" t="s">
        <v>3732</v>
      </c>
      <c r="B741" t="s">
        <v>3786</v>
      </c>
      <c r="C741" t="s">
        <v>3824</v>
      </c>
      <c r="D741" t="s">
        <v>3860</v>
      </c>
      <c r="E741" t="s">
        <v>3897</v>
      </c>
      <c r="F741" t="s">
        <v>3933</v>
      </c>
      <c r="G741" s="90" t="str">
        <f t="shared" si="21"/>
        <v>Cyber</v>
      </c>
    </row>
    <row r="742" spans="1:7" ht="13" thickBot="1" x14ac:dyDescent="0.3">
      <c r="A742" s="797" t="s">
        <v>3751</v>
      </c>
      <c r="B742" t="s">
        <v>3787</v>
      </c>
      <c r="C742" t="s">
        <v>3825</v>
      </c>
      <c r="D742" t="s">
        <v>3861</v>
      </c>
      <c r="E742" t="s">
        <v>3898</v>
      </c>
      <c r="F742" t="s">
        <v>3934</v>
      </c>
      <c r="G742" s="90" t="str">
        <f t="shared" si="21"/>
        <v>Impianti ITG/EED</v>
      </c>
    </row>
    <row r="743" spans="1:7" x14ac:dyDescent="0.25">
      <c r="A743" s="796" t="s">
        <v>3753</v>
      </c>
      <c r="B743" t="s">
        <v>3788</v>
      </c>
      <c r="C743" t="s">
        <v>3826</v>
      </c>
      <c r="D743" t="s">
        <v>3862</v>
      </c>
      <c r="E743" t="s">
        <v>3899</v>
      </c>
      <c r="F743" t="s">
        <v>3935</v>
      </c>
      <c r="G743" s="90" t="str">
        <f t="shared" si="21"/>
        <v>Infortuni Clienti</v>
      </c>
    </row>
    <row r="744" spans="1:7" ht="13" thickBot="1" x14ac:dyDescent="0.3">
      <c r="A744" s="797" t="s">
        <v>3733</v>
      </c>
      <c r="B744" t="s">
        <v>3789</v>
      </c>
      <c r="C744" t="s">
        <v>3827</v>
      </c>
      <c r="D744" t="s">
        <v>1037</v>
      </c>
      <c r="E744" t="s">
        <v>1055</v>
      </c>
      <c r="F744" t="s">
        <v>1071</v>
      </c>
      <c r="G744" s="90" t="str">
        <f t="shared" si="21"/>
        <v>Altro</v>
      </c>
    </row>
    <row r="745" spans="1:7" ht="13" x14ac:dyDescent="0.3">
      <c r="A745" s="812" t="s">
        <v>3734</v>
      </c>
      <c r="B745" t="s">
        <v>3790</v>
      </c>
      <c r="C745" t="s">
        <v>3828</v>
      </c>
      <c r="D745" t="s">
        <v>3828</v>
      </c>
      <c r="E745" t="s">
        <v>3900</v>
      </c>
      <c r="F745" t="s">
        <v>3828</v>
      </c>
      <c r="G745" s="90" t="str">
        <f t="shared" si="21"/>
        <v>TOTALE</v>
      </c>
    </row>
    <row r="746" spans="1:7" ht="13.5" thickBot="1" x14ac:dyDescent="0.35">
      <c r="A746" s="813" t="s">
        <v>3735</v>
      </c>
      <c r="B746" t="s">
        <v>3791</v>
      </c>
      <c r="C746" t="s">
        <v>3829</v>
      </c>
      <c r="D746" t="s">
        <v>3863</v>
      </c>
      <c r="E746" t="s">
        <v>3901</v>
      </c>
      <c r="F746" t="s">
        <v>3936</v>
      </c>
      <c r="G746" s="90" t="str">
        <f t="shared" si="21"/>
        <v>DIFFERENZA:</v>
      </c>
    </row>
    <row r="747" spans="1:7" ht="13" thickBot="1" x14ac:dyDescent="0.3">
      <c r="A747" s="810" t="s">
        <v>3741</v>
      </c>
      <c r="B747" t="s">
        <v>3937</v>
      </c>
      <c r="C747" t="s">
        <v>3937</v>
      </c>
      <c r="D747" t="s">
        <v>3937</v>
      </c>
      <c r="E747" t="s">
        <v>3951</v>
      </c>
      <c r="F747" t="s">
        <v>3937</v>
      </c>
      <c r="G747" s="90" t="str">
        <f t="shared" si="21"/>
        <v>Trasp.</v>
      </c>
    </row>
    <row r="748" spans="1:7" ht="13" thickBot="1" x14ac:dyDescent="0.3">
      <c r="A748" s="810" t="s">
        <v>3718</v>
      </c>
      <c r="B748" t="s">
        <v>3968</v>
      </c>
      <c r="C748" t="s">
        <v>3939</v>
      </c>
      <c r="D748" t="s">
        <v>3945</v>
      </c>
      <c r="E748" t="s">
        <v>3952</v>
      </c>
      <c r="F748" t="s">
        <v>3956</v>
      </c>
      <c r="G748" s="90" t="str">
        <f t="shared" si="21"/>
        <v>Responsabilità Civile</v>
      </c>
    </row>
    <row r="749" spans="1:7" ht="13" thickBot="1" x14ac:dyDescent="0.3">
      <c r="A749" s="810" t="s">
        <v>3720</v>
      </c>
      <c r="B749" t="s">
        <v>1076</v>
      </c>
      <c r="C749" t="s">
        <v>3940</v>
      </c>
      <c r="D749" t="s">
        <v>3946</v>
      </c>
      <c r="E749" t="s">
        <v>1108</v>
      </c>
      <c r="F749" t="s">
        <v>3957</v>
      </c>
      <c r="G749" s="90" t="str">
        <f t="shared" si="21"/>
        <v>Protezione Giuridica</v>
      </c>
    </row>
    <row r="750" spans="1:7" ht="13" thickBot="1" x14ac:dyDescent="0.3">
      <c r="A750" s="810" t="s">
        <v>3723</v>
      </c>
      <c r="B750" t="s">
        <v>3938</v>
      </c>
      <c r="C750" t="s">
        <v>3941</v>
      </c>
      <c r="D750" t="s">
        <v>3947</v>
      </c>
      <c r="E750" t="s">
        <v>3953</v>
      </c>
      <c r="F750" t="s">
        <v>3958</v>
      </c>
      <c r="G750" s="90" t="str">
        <f t="shared" si="21"/>
        <v>Dirigenti/soci</v>
      </c>
    </row>
    <row r="751" spans="1:7" ht="13" thickBot="1" x14ac:dyDescent="0.3">
      <c r="A751" s="810" t="s">
        <v>3726</v>
      </c>
      <c r="B751" t="s">
        <v>3961</v>
      </c>
      <c r="C751" t="s">
        <v>3942</v>
      </c>
      <c r="D751" t="s">
        <v>3948</v>
      </c>
      <c r="E751" t="s">
        <v>3954</v>
      </c>
      <c r="F751" t="s">
        <v>3959</v>
      </c>
      <c r="G751" s="90" t="str">
        <f t="shared" si="21"/>
        <v>Personale</v>
      </c>
    </row>
    <row r="752" spans="1:7" ht="13" thickBot="1" x14ac:dyDescent="0.3">
      <c r="A752" s="811" t="s">
        <v>3730</v>
      </c>
      <c r="B752" t="s">
        <v>3767</v>
      </c>
      <c r="C752" t="s">
        <v>3943</v>
      </c>
      <c r="D752" t="s">
        <v>3949</v>
      </c>
      <c r="E752" t="s">
        <v>3877</v>
      </c>
      <c r="F752" t="s">
        <v>3914</v>
      </c>
      <c r="G752" s="90" t="str">
        <f t="shared" si="21"/>
        <v>Assicurazioni tecniche</v>
      </c>
    </row>
    <row r="753" spans="1:7" x14ac:dyDescent="0.25">
      <c r="A753" s="811" t="s">
        <v>3746</v>
      </c>
      <c r="B753" t="s">
        <v>3746</v>
      </c>
      <c r="C753" t="s">
        <v>3944</v>
      </c>
      <c r="D753" t="s">
        <v>3950</v>
      </c>
      <c r="E753" t="s">
        <v>3955</v>
      </c>
      <c r="F753" t="s">
        <v>3960</v>
      </c>
      <c r="G753" s="90" t="str">
        <f t="shared" si="21"/>
        <v>Diverse</v>
      </c>
    </row>
    <row r="754" spans="1:7" x14ac:dyDescent="0.25">
      <c r="A754" t="s">
        <v>3737</v>
      </c>
      <c r="B754" t="s">
        <v>3962</v>
      </c>
      <c r="C754" t="s">
        <v>3963</v>
      </c>
      <c r="D754" t="s">
        <v>3965</v>
      </c>
      <c r="E754" t="s">
        <v>3966</v>
      </c>
      <c r="F754" t="s">
        <v>3967</v>
      </c>
      <c r="G754" s="90" t="str">
        <f t="shared" si="21"/>
        <v>RISCHIO FINANZ. ATTUALE:</v>
      </c>
    </row>
    <row r="755" spans="1:7" x14ac:dyDescent="0.25">
      <c r="A755" s="90" t="s">
        <v>3964</v>
      </c>
      <c r="B755" t="s">
        <v>3971</v>
      </c>
      <c r="C755" t="s">
        <v>3972</v>
      </c>
      <c r="D755" t="s">
        <v>3973</v>
      </c>
      <c r="E755" t="s">
        <v>3974</v>
      </c>
      <c r="F755" t="s">
        <v>3975</v>
      </c>
      <c r="G755" s="90" t="str">
        <f t="shared" si="21"/>
        <v>SOLUZIONE PROPOSTA:</v>
      </c>
    </row>
    <row r="756" spans="1:7" x14ac:dyDescent="0.25">
      <c r="G756" s="90">
        <f t="shared" si="21"/>
        <v>0</v>
      </c>
    </row>
    <row r="757" spans="1:7" x14ac:dyDescent="0.25">
      <c r="A757" s="90" t="s">
        <v>3977</v>
      </c>
      <c r="B757" t="s">
        <v>4047</v>
      </c>
      <c r="C757" t="s">
        <v>4050</v>
      </c>
      <c r="D757" t="s">
        <v>4053</v>
      </c>
      <c r="E757" t="s">
        <v>4056</v>
      </c>
      <c r="F757" t="s">
        <v>4059</v>
      </c>
      <c r="G757" s="90" t="str">
        <f t="shared" si="21"/>
        <v>Ragione sociale</v>
      </c>
    </row>
    <row r="758" spans="1:7" x14ac:dyDescent="0.25">
      <c r="A758" s="90" t="s">
        <v>3976</v>
      </c>
      <c r="B758" t="s">
        <v>4048</v>
      </c>
      <c r="C758" t="s">
        <v>4051</v>
      </c>
      <c r="D758" t="s">
        <v>4054</v>
      </c>
      <c r="E758" t="s">
        <v>4057</v>
      </c>
      <c r="F758" t="s">
        <v>4060</v>
      </c>
      <c r="G758" s="90" t="str">
        <f t="shared" si="21"/>
        <v>Tipo di azienda</v>
      </c>
    </row>
    <row r="759" spans="1:7" x14ac:dyDescent="0.25">
      <c r="A759" s="90" t="s">
        <v>3980</v>
      </c>
      <c r="B759" t="s">
        <v>4049</v>
      </c>
      <c r="C759" t="s">
        <v>4052</v>
      </c>
      <c r="D759" t="s">
        <v>4055</v>
      </c>
      <c r="E759" t="s">
        <v>4058</v>
      </c>
      <c r="F759" t="s">
        <v>4061</v>
      </c>
      <c r="G759" s="90" t="str">
        <f t="shared" si="21"/>
        <v>Indirizzo Azienda</v>
      </c>
    </row>
    <row r="760" spans="1:7" x14ac:dyDescent="0.25">
      <c r="B760"/>
      <c r="C760"/>
      <c r="D760"/>
      <c r="E760"/>
      <c r="F760"/>
    </row>
    <row r="761" spans="1:7" ht="12.5" customHeight="1" x14ac:dyDescent="0.25">
      <c r="A761" t="s">
        <v>4067</v>
      </c>
      <c r="B761" t="s">
        <v>4066</v>
      </c>
      <c r="C761" t="s">
        <v>4065</v>
      </c>
      <c r="D761" t="s">
        <v>4064</v>
      </c>
      <c r="E761" t="s">
        <v>4063</v>
      </c>
      <c r="F761" t="s">
        <v>4062</v>
      </c>
      <c r="G761" s="90" t="str">
        <f t="shared" si="21"/>
        <v>• RISCHI DEL PERSONALE: Perdita di guadagno in caso di malattia, infortunio, invalidità e decesso</v>
      </c>
    </row>
    <row r="762" spans="1:7" ht="12.5" customHeight="1" x14ac:dyDescent="0.25">
      <c r="A762" t="s">
        <v>4038</v>
      </c>
      <c r="B762" t="s">
        <v>3983</v>
      </c>
      <c r="C762" t="s">
        <v>3994</v>
      </c>
      <c r="D762" t="s">
        <v>4005</v>
      </c>
      <c r="E762" t="s">
        <v>4016</v>
      </c>
      <c r="F762" t="s">
        <v>4027</v>
      </c>
      <c r="G762" s="90" t="str">
        <f t="shared" si="21"/>
        <v>• RISCHI DIRIGENTI, SOCI E AMMINISTRATORI: Garantire i creditori e/o la sopravvivenza dell'azienda in caso di decesso o incapacità lavorativa di persone fondamentali per l'azienda</v>
      </c>
    </row>
    <row r="763" spans="1:7" ht="12.5" customHeight="1" x14ac:dyDescent="0.25">
      <c r="A763" t="s">
        <v>4039</v>
      </c>
      <c r="B763" t="s">
        <v>3984</v>
      </c>
      <c r="C763" t="s">
        <v>3995</v>
      </c>
      <c r="D763" t="s">
        <v>4006</v>
      </c>
      <c r="E763" t="s">
        <v>4017</v>
      </c>
      <c r="F763" t="s">
        <v>4028</v>
      </c>
      <c r="G763" s="90" t="str">
        <f t="shared" si="21"/>
        <v>• RISCHIO DEL FATTURATO: Difficoltà di incasso in caso di fallimento del committente, lunghe procedure di incasso o cause legali</v>
      </c>
    </row>
    <row r="764" spans="1:7" ht="12.5" customHeight="1" x14ac:dyDescent="0.25">
      <c r="A764" t="s">
        <v>4040</v>
      </c>
      <c r="B764" t="s">
        <v>3985</v>
      </c>
      <c r="C764" t="s">
        <v>3996</v>
      </c>
      <c r="D764" t="s">
        <v>4007</v>
      </c>
      <c r="E764" t="s">
        <v>4018</v>
      </c>
      <c r="F764" t="s">
        <v>4029</v>
      </c>
      <c r="G764" s="90" t="str">
        <f t="shared" si="21"/>
        <v>• RISCHI FINANZIARI: Ottimizzare la finanziabilità dell'azienda in caso di necessità di liquidità / Richieste di finanziamento tramite crediti aziendali, privati e/o ipotecari, factoring, crowdfunding, private equity, tokenizzazione, venture capital</v>
      </c>
    </row>
    <row r="765" spans="1:7" s="471" customFormat="1" ht="12.5" customHeight="1" x14ac:dyDescent="0.25">
      <c r="A765" s="471" t="s">
        <v>4499</v>
      </c>
      <c r="B765" s="471" t="s">
        <v>3986</v>
      </c>
      <c r="C765" s="471" t="s">
        <v>3997</v>
      </c>
      <c r="D765" s="471" t="s">
        <v>4008</v>
      </c>
      <c r="E765" s="471" t="s">
        <v>4019</v>
      </c>
      <c r="F765" s="471" t="s">
        <v>4030</v>
      </c>
      <c r="G765" s="866" t="str">
        <f t="shared" si="21"/>
        <v>• RISCHI PATRIMONIALI DIRETTI: In caso di pretese RC, cause legali , Rischio prodotto, Rischio esercizio, rischio ambientale, rischio impianti</v>
      </c>
    </row>
    <row r="766" spans="1:7" ht="12.5" customHeight="1" x14ac:dyDescent="0.25">
      <c r="A766" t="s">
        <v>4093</v>
      </c>
      <c r="B766" t="s">
        <v>4097</v>
      </c>
      <c r="C766" t="s">
        <v>4100</v>
      </c>
      <c r="D766" t="s">
        <v>4103</v>
      </c>
      <c r="E766" t="s">
        <v>4106</v>
      </c>
      <c r="F766" t="s">
        <v>4109</v>
      </c>
      <c r="G766" s="90" t="str">
        <f t="shared" ref="G766:G772" si="22">IF($C$1="IT",A766,IF($C$1="DE",B766,IF($C$1="FR",C766,IF($C$1="PT",D766,IF($C$1="RU",E766,IF($C$1="EN",F766,A766))))))</f>
        <v>• RISCHI PATRIMONIALI INDIRETTI: dipendenzeper contratti di fornitura, pene convenzionali e accordi di risarcimento danni</v>
      </c>
    </row>
    <row r="767" spans="1:7" ht="12.5" customHeight="1" x14ac:dyDescent="0.25">
      <c r="A767" t="s">
        <v>4094</v>
      </c>
      <c r="B767" t="s">
        <v>4098</v>
      </c>
      <c r="C767" t="s">
        <v>4101</v>
      </c>
      <c r="D767" t="s">
        <v>4104</v>
      </c>
      <c r="E767" t="s">
        <v>4107</v>
      </c>
      <c r="F767" t="s">
        <v>4110</v>
      </c>
      <c r="G767" s="90" t="str">
        <f t="shared" si="22"/>
        <v>• RISCHI PATRIMONIALI DA DANNI COSE: Interruzione di esercizio</v>
      </c>
    </row>
    <row r="768" spans="1:7" ht="12.5" customHeight="1" x14ac:dyDescent="0.25">
      <c r="A768" t="s">
        <v>4095</v>
      </c>
      <c r="B768" t="s">
        <v>3987</v>
      </c>
      <c r="C768" t="s">
        <v>3998</v>
      </c>
      <c r="D768" t="s">
        <v>4009</v>
      </c>
      <c r="E768" t="s">
        <v>4020</v>
      </c>
      <c r="F768" t="s">
        <v>4031</v>
      </c>
      <c r="G768" s="90" t="str">
        <f t="shared" si="22"/>
        <v>• RISCHI DEL PARCO VEICOLI PROPRIO: Rischi legati alla gestione della flotta aziendale</v>
      </c>
    </row>
    <row r="769" spans="1:7" ht="12.5" customHeight="1" x14ac:dyDescent="0.25">
      <c r="A769" t="s">
        <v>4096</v>
      </c>
      <c r="B769" t="s">
        <v>4099</v>
      </c>
      <c r="C769" t="s">
        <v>4102</v>
      </c>
      <c r="D769" t="s">
        <v>4105</v>
      </c>
      <c r="E769" t="s">
        <v>4108</v>
      </c>
      <c r="F769" t="s">
        <v>4111</v>
      </c>
      <c r="G769" s="90" t="str">
        <f t="shared" si="22"/>
        <v>• RISCHI DEL PARCO VEICOLI DI CLIENTI:</v>
      </c>
    </row>
    <row r="770" spans="1:7" ht="12.5" customHeight="1" x14ac:dyDescent="0.25">
      <c r="A770" t="s">
        <v>4041</v>
      </c>
      <c r="B770" t="s">
        <v>3988</v>
      </c>
      <c r="C770" t="s">
        <v>3999</v>
      </c>
      <c r="D770" t="s">
        <v>4010</v>
      </c>
      <c r="E770" t="s">
        <v>4021</v>
      </c>
      <c r="F770" t="s">
        <v>4032</v>
      </c>
      <c r="G770" s="90" t="str">
        <f t="shared" si="22"/>
        <v>• RISCHI MOBILIO, ATTREZZATURE, MAGAZZINO, IMPIANTI, MERCI: Propri e/o di terzi in caso di incendio, furto, danni delle acque, ecc.</v>
      </c>
    </row>
    <row r="771" spans="1:7" ht="12.5" customHeight="1" x14ac:dyDescent="0.25">
      <c r="A771" t="s">
        <v>4042</v>
      </c>
      <c r="B771" t="s">
        <v>3989</v>
      </c>
      <c r="C771" t="s">
        <v>4000</v>
      </c>
      <c r="D771" t="s">
        <v>4011</v>
      </c>
      <c r="E771" t="s">
        <v>4022</v>
      </c>
      <c r="F771" t="s">
        <v>4033</v>
      </c>
      <c r="G771" s="90" t="str">
        <f t="shared" si="22"/>
        <v>• RISCHI TECNICI: Ad apparecchiature proprie e/o di terzi (errata manipolazione, guasti, montaggio e smontaggio, fermo macchina, ecc.)</v>
      </c>
    </row>
    <row r="772" spans="1:7" ht="12.5" customHeight="1" x14ac:dyDescent="0.25">
      <c r="A772" t="s">
        <v>4043</v>
      </c>
      <c r="B772" t="s">
        <v>3990</v>
      </c>
      <c r="C772" t="s">
        <v>4001</v>
      </c>
      <c r="D772" t="s">
        <v>4012</v>
      </c>
      <c r="E772" t="s">
        <v>4023</v>
      </c>
      <c r="F772" t="s">
        <v>4034</v>
      </c>
      <c r="G772" s="90" t="str">
        <f t="shared" si="22"/>
        <v>• RISCHI INFORMATICI: Hackeraggio, furto, cancellazione, pubblicazione o uso improprio dei vostri dati o di quelli dei vostri clienti</v>
      </c>
    </row>
    <row r="773" spans="1:7" ht="12.5" customHeight="1" x14ac:dyDescent="0.25">
      <c r="A773" t="s">
        <v>4044</v>
      </c>
      <c r="B773" t="s">
        <v>3991</v>
      </c>
      <c r="C773" t="s">
        <v>4002</v>
      </c>
      <c r="D773" t="s">
        <v>4013</v>
      </c>
      <c r="E773" t="s">
        <v>4024</v>
      </c>
      <c r="F773" t="s">
        <v>4035</v>
      </c>
      <c r="G773" s="90" t="str">
        <f t="shared" ref="G773:G826" si="23">IF($C$1="IT",A773,IF($C$1="DE",B773,IF($C$1="FR",C773,IF($C$1="PT",D773,IF($C$1="RU",E773,IF($C$1="EN",F773,A773))))))</f>
        <v>• RISCHI DI TRASPORTO: Danneggiamento, smarrimento o ritardo nel trasporto di merci o beni propri o di terzi, trasportati dall'azienda stessa o tramite terzi</v>
      </c>
    </row>
    <row r="774" spans="1:7" ht="12.5" customHeight="1" x14ac:dyDescent="0.25">
      <c r="A774" t="s">
        <v>4045</v>
      </c>
      <c r="B774" t="s">
        <v>3992</v>
      </c>
      <c r="C774" t="s">
        <v>4003</v>
      </c>
      <c r="D774" t="s">
        <v>4014</v>
      </c>
      <c r="E774" t="s">
        <v>4025</v>
      </c>
      <c r="F774" t="s">
        <v>4036</v>
      </c>
      <c r="G774" s="90" t="str">
        <f t="shared" si="23"/>
        <v>• RISCHI FISCALI E CONTRIBUTIVI: Rischio di perdita di liquidità dovuto a problematiche fiscali o contributive, a non approfittare di tutte le deduzioni possibili, o di non avere l'assetto contributivo più vantaggioso possibile</v>
      </c>
    </row>
    <row r="775" spans="1:7" ht="12.5" customHeight="1" x14ac:dyDescent="0.25">
      <c r="A775" t="s">
        <v>4046</v>
      </c>
      <c r="B775" t="s">
        <v>3993</v>
      </c>
      <c r="C775" t="s">
        <v>4004</v>
      </c>
      <c r="D775" t="s">
        <v>4015</v>
      </c>
      <c r="E775" t="s">
        <v>4026</v>
      </c>
      <c r="F775" t="s">
        <v>4037</v>
      </c>
      <c r="G775" s="90" t="str">
        <f t="shared" si="23"/>
        <v>• RISCHIO DELLA GESTIONE ASSICURATIVA: Assicurazioni doppie o a costi eccessivi, lacune assicurative, assistenza indipendente in caso di sinistri o contenziosi</v>
      </c>
    </row>
    <row r="776" spans="1:7" x14ac:dyDescent="0.25">
      <c r="G776" s="90">
        <f t="shared" si="23"/>
        <v>0</v>
      </c>
    </row>
    <row r="777" spans="1:7" ht="33" customHeight="1" x14ac:dyDescent="0.25">
      <c r="A777" s="90" t="s">
        <v>3978</v>
      </c>
      <c r="B777" t="s">
        <v>4112</v>
      </c>
      <c r="C777" t="s">
        <v>4141</v>
      </c>
      <c r="D777" t="s">
        <v>3978</v>
      </c>
      <c r="E777" t="s">
        <v>4198</v>
      </c>
      <c r="F777" t="s">
        <v>4227</v>
      </c>
      <c r="G777" s="90" t="str">
        <f t="shared" si="23"/>
        <v>Codice NOGA</v>
      </c>
    </row>
    <row r="778" spans="1:7" x14ac:dyDescent="0.25">
      <c r="A778" s="90" t="s">
        <v>3979</v>
      </c>
      <c r="B778" t="s">
        <v>4113</v>
      </c>
      <c r="C778" t="s">
        <v>4142</v>
      </c>
      <c r="D778" t="s">
        <v>4170</v>
      </c>
      <c r="E778" t="s">
        <v>4199</v>
      </c>
      <c r="F778" t="s">
        <v>4228</v>
      </c>
      <c r="G778" s="90" t="str">
        <f t="shared" si="23"/>
        <v>Contratto collettivo?</v>
      </c>
    </row>
    <row r="779" spans="1:7" x14ac:dyDescent="0.25">
      <c r="A779" s="90" t="s">
        <v>4072</v>
      </c>
      <c r="B779" t="s">
        <v>4114</v>
      </c>
      <c r="C779" t="s">
        <v>4143</v>
      </c>
      <c r="D779" t="s">
        <v>4171</v>
      </c>
      <c r="E779" t="s">
        <v>4200</v>
      </c>
      <c r="F779" t="s">
        <v>4229</v>
      </c>
    </row>
    <row r="780" spans="1:7" x14ac:dyDescent="0.25">
      <c r="A780" s="90" t="s">
        <v>4069</v>
      </c>
      <c r="B780" t="s">
        <v>4115</v>
      </c>
      <c r="C780" t="s">
        <v>4144</v>
      </c>
      <c r="D780" t="s">
        <v>4172</v>
      </c>
      <c r="E780" t="s">
        <v>4201</v>
      </c>
      <c r="F780" t="s">
        <v>4230</v>
      </c>
      <c r="G780" s="90" t="str">
        <f t="shared" si="23"/>
        <v>N. dipendenti uomini</v>
      </c>
    </row>
    <row r="781" spans="1:7" x14ac:dyDescent="0.25">
      <c r="A781" s="90" t="s">
        <v>4068</v>
      </c>
      <c r="B781" t="s">
        <v>4116</v>
      </c>
      <c r="C781" t="s">
        <v>4145</v>
      </c>
      <c r="D781" t="s">
        <v>4173</v>
      </c>
      <c r="E781" t="s">
        <v>4202</v>
      </c>
      <c r="F781" t="s">
        <v>4231</v>
      </c>
      <c r="G781" s="90" t="str">
        <f t="shared" si="23"/>
        <v>N. dipendenti femmine</v>
      </c>
    </row>
    <row r="782" spans="1:7" x14ac:dyDescent="0.25">
      <c r="A782" s="90" t="s">
        <v>4070</v>
      </c>
      <c r="B782" t="s">
        <v>4117</v>
      </c>
      <c r="C782" t="s">
        <v>4146</v>
      </c>
      <c r="D782" t="s">
        <v>4174</v>
      </c>
      <c r="E782" t="s">
        <v>4203</v>
      </c>
      <c r="F782" t="s">
        <v>4232</v>
      </c>
      <c r="G782" s="90" t="str">
        <f t="shared" si="23"/>
        <v>Volume salari annui Uomini</v>
      </c>
    </row>
    <row r="783" spans="1:7" x14ac:dyDescent="0.25">
      <c r="A783" s="90" t="s">
        <v>4071</v>
      </c>
      <c r="B783" t="s">
        <v>4118</v>
      </c>
      <c r="C783" t="s">
        <v>4147</v>
      </c>
      <c r="D783" t="s">
        <v>4175</v>
      </c>
      <c r="E783" t="s">
        <v>4204</v>
      </c>
      <c r="F783" t="s">
        <v>4233</v>
      </c>
      <c r="G783" s="90" t="str">
        <f t="shared" si="23"/>
        <v>Volume salari annui Donne</v>
      </c>
    </row>
    <row r="784" spans="1:7" ht="36" customHeight="1" x14ac:dyDescent="0.25">
      <c r="A784" s="90" t="s">
        <v>3981</v>
      </c>
      <c r="B784" t="s">
        <v>4119</v>
      </c>
      <c r="C784" t="s">
        <v>4148</v>
      </c>
      <c r="D784" t="s">
        <v>4176</v>
      </c>
      <c r="E784" t="s">
        <v>4205</v>
      </c>
      <c r="F784" t="s">
        <v>4234</v>
      </c>
      <c r="G784" s="90" t="str">
        <f t="shared" si="23"/>
        <v>Luogo di Rischio principale</v>
      </c>
    </row>
    <row r="785" spans="1:7" x14ac:dyDescent="0.25">
      <c r="A785" s="90" t="s">
        <v>3982</v>
      </c>
      <c r="B785" t="s">
        <v>4120</v>
      </c>
      <c r="C785" t="s">
        <v>4149</v>
      </c>
      <c r="D785" t="s">
        <v>4177</v>
      </c>
      <c r="E785" t="s">
        <v>4206</v>
      </c>
      <c r="F785" t="s">
        <v>4235</v>
      </c>
      <c r="G785" s="90" t="str">
        <f t="shared" si="23"/>
        <v>Altri luoghi di rischio</v>
      </c>
    </row>
    <row r="786" spans="1:7" x14ac:dyDescent="0.25">
      <c r="A786" s="90" t="s">
        <v>4073</v>
      </c>
      <c r="B786" t="s">
        <v>4121</v>
      </c>
      <c r="C786" t="s">
        <v>4150</v>
      </c>
      <c r="D786" t="s">
        <v>4178</v>
      </c>
      <c r="E786" t="s">
        <v>4207</v>
      </c>
      <c r="F786" t="s">
        <v>4236</v>
      </c>
      <c r="G786" s="90" t="str">
        <f t="shared" si="23"/>
        <v>Valore dei beni mobili (inventario)</v>
      </c>
    </row>
    <row r="787" spans="1:7" x14ac:dyDescent="0.25">
      <c r="A787" t="s">
        <v>4076</v>
      </c>
      <c r="B787" t="s">
        <v>4122</v>
      </c>
      <c r="C787" t="s">
        <v>4151</v>
      </c>
      <c r="D787" t="s">
        <v>4179</v>
      </c>
      <c r="E787" t="s">
        <v>4208</v>
      </c>
      <c r="F787" t="s">
        <v>4237</v>
      </c>
      <c r="G787" s="90" t="str">
        <f t="shared" si="23"/>
        <v>Merci (prezzo di mercato/prezzo di vendita)</v>
      </c>
    </row>
    <row r="788" spans="1:7" ht="62.5" x14ac:dyDescent="0.25">
      <c r="A788" t="s">
        <v>4077</v>
      </c>
      <c r="B788" t="s">
        <v>4123</v>
      </c>
      <c r="C788" t="s">
        <v>4152</v>
      </c>
      <c r="D788" t="s">
        <v>4180</v>
      </c>
      <c r="E788" t="s">
        <v>4209</v>
      </c>
      <c r="F788" t="s">
        <v>4238</v>
      </c>
      <c r="G788" s="90" t="str">
        <f t="shared" si="23"/>
        <v>Merci destinate alla vendita o al consumo: alimenti, materie prime, beni commerciali, materiali vari (imballi, carburanti, coloranti, prodotti chimici, lubrificanti, grassi, benzina, petrolio, ecc.), pezzi singoli, ricambi e componenti</v>
      </c>
    </row>
    <row r="789" spans="1:7" x14ac:dyDescent="0.25">
      <c r="A789" t="s">
        <v>4078</v>
      </c>
      <c r="B789" t="s">
        <v>4124</v>
      </c>
      <c r="C789" t="s">
        <v>4153</v>
      </c>
      <c r="D789" t="s">
        <v>4181</v>
      </c>
      <c r="E789" t="s">
        <v>4210</v>
      </c>
      <c r="F789" t="s">
        <v>4239</v>
      </c>
      <c r="G789" s="90" t="str">
        <f t="shared" si="23"/>
        <v>Installazioni (valore a nuovo)</v>
      </c>
    </row>
    <row r="790" spans="1:7" ht="50" x14ac:dyDescent="0.25">
      <c r="A790" t="s">
        <v>4079</v>
      </c>
      <c r="B790" t="s">
        <v>4125</v>
      </c>
      <c r="C790" t="s">
        <v>4154</v>
      </c>
      <c r="D790" t="s">
        <v>4182</v>
      </c>
      <c r="E790" t="s">
        <v>4211</v>
      </c>
      <c r="F790" t="s">
        <v>4240</v>
      </c>
      <c r="G790" s="90" t="str">
        <f t="shared" si="23"/>
        <v>Arredi, strutture operative e di stoccaggio, scaffalature, mobili, biancheria, stoviglie, bicchieri, posate, illuminazione, mobili da ufficio, armadi, minuteria, inventario generale dell'ufficio</v>
      </c>
    </row>
    <row r="791" spans="1:7" x14ac:dyDescent="0.25">
      <c r="A791" t="s">
        <v>4080</v>
      </c>
      <c r="B791" t="s">
        <v>4126</v>
      </c>
      <c r="C791" t="s">
        <v>4155</v>
      </c>
      <c r="D791" t="s">
        <v>4183</v>
      </c>
      <c r="E791" t="s">
        <v>4212</v>
      </c>
      <c r="F791" t="s">
        <v>4241</v>
      </c>
      <c r="G791" s="90" t="str">
        <f t="shared" si="23"/>
        <v>Impianti elettronici (valore a nuovo )</v>
      </c>
    </row>
    <row r="792" spans="1:7" ht="25" x14ac:dyDescent="0.25">
      <c r="A792" t="s">
        <v>4081</v>
      </c>
      <c r="B792" t="s">
        <v>4127</v>
      </c>
      <c r="C792" t="s">
        <v>4156</v>
      </c>
      <c r="D792" t="s">
        <v>4184</v>
      </c>
      <c r="E792" t="s">
        <v>4213</v>
      </c>
      <c r="F792" t="s">
        <v>4242</v>
      </c>
      <c r="G792" s="90" t="str">
        <f t="shared" si="23"/>
        <v>Dispositivi informatici, dispositivi di archiviazione, linee di alimentazione e dati, fotocopiatrici, stampanti, ecc.</v>
      </c>
    </row>
    <row r="793" spans="1:7" x14ac:dyDescent="0.25">
      <c r="A793" t="s">
        <v>4082</v>
      </c>
      <c r="B793" t="s">
        <v>4128</v>
      </c>
      <c r="C793" t="s">
        <v>4157</v>
      </c>
      <c r="D793" t="s">
        <v>4185</v>
      </c>
      <c r="E793" t="s">
        <v>4214</v>
      </c>
      <c r="F793" t="s">
        <v>4243</v>
      </c>
      <c r="G793" s="90" t="str">
        <f t="shared" si="23"/>
        <v>Attrezzatura strutturale (valore a nuovo)</v>
      </c>
    </row>
    <row r="794" spans="1:7" ht="75" x14ac:dyDescent="0.25">
      <c r="A794" t="s">
        <v>4083</v>
      </c>
      <c r="B794" t="s">
        <v>4129</v>
      </c>
      <c r="C794" t="s">
        <v>4158</v>
      </c>
      <c r="D794" t="s">
        <v>4186</v>
      </c>
      <c r="E794" t="s">
        <v>4215</v>
      </c>
      <c r="F794" t="s">
        <v>4244</v>
      </c>
      <c r="G794" s="90" t="str">
        <f t="shared" si="23"/>
        <v>Attrezzature appartenenti al contraente, da lui installate in qualità di locatario o proprietario, collegate in modo permanente all'edificio, nella misura in cui non siano assicurate o debbano essere assicurate dall'assicurazione stabili, strutture mobili come fabbricati, container, ecc.</v>
      </c>
    </row>
    <row r="795" spans="1:7" x14ac:dyDescent="0.25">
      <c r="A795" t="s">
        <v>4084</v>
      </c>
      <c r="B795" t="s">
        <v>4130</v>
      </c>
      <c r="C795" t="s">
        <v>4159</v>
      </c>
      <c r="D795" t="s">
        <v>4187</v>
      </c>
      <c r="E795" t="s">
        <v>4216</v>
      </c>
      <c r="F795" t="s">
        <v>4245</v>
      </c>
      <c r="G795" s="90" t="str">
        <f t="shared" si="23"/>
        <v>Macchinari, utensili (valore a nuovo)</v>
      </c>
    </row>
    <row r="796" spans="1:7" ht="25" x14ac:dyDescent="0.25">
      <c r="A796" t="s">
        <v>4085</v>
      </c>
      <c r="B796" t="s">
        <v>4131</v>
      </c>
      <c r="C796" t="s">
        <v>4160</v>
      </c>
      <c r="D796" t="s">
        <v>4188</v>
      </c>
      <c r="E796" t="s">
        <v>4217</v>
      </c>
      <c r="F796" t="s">
        <v>4246</v>
      </c>
      <c r="G796" s="90" t="str">
        <f t="shared" si="23"/>
        <v>Macchinari, apparecchi, dispositivi, utensili, strumenti, veicoli a motore aziendali (senza targa)</v>
      </c>
    </row>
    <row r="797" spans="1:7" x14ac:dyDescent="0.25">
      <c r="A797" t="s">
        <v>4086</v>
      </c>
      <c r="B797" t="s">
        <v>4132</v>
      </c>
      <c r="C797" t="s">
        <v>4161</v>
      </c>
      <c r="D797" t="s">
        <v>4189</v>
      </c>
      <c r="E797" t="s">
        <v>4218</v>
      </c>
      <c r="F797" t="s">
        <v>4247</v>
      </c>
      <c r="G797" s="90" t="str">
        <f t="shared" si="23"/>
        <v>Veicoli in vendita (prezzo d'acquisto)</v>
      </c>
    </row>
    <row r="798" spans="1:7" ht="37.5" x14ac:dyDescent="0.25">
      <c r="A798" t="s">
        <v>4087</v>
      </c>
      <c r="B798" t="s">
        <v>4133</v>
      </c>
      <c r="C798" t="s">
        <v>4162</v>
      </c>
      <c r="D798" t="s">
        <v>4190</v>
      </c>
      <c r="E798" t="s">
        <v>4219</v>
      </c>
      <c r="F798" t="s">
        <v>4248</v>
      </c>
      <c r="G798" s="90" t="str">
        <f t="shared" si="23"/>
        <v>Veicoli a motore nuovi e usati, rimorchi, roulotte, case mobili, barche e aeromobili con accessori offerti in vendita dall'assicurato.</v>
      </c>
    </row>
    <row r="799" spans="1:7" x14ac:dyDescent="0.25">
      <c r="A799" t="s">
        <v>4089</v>
      </c>
      <c r="B799" t="s">
        <v>4134</v>
      </c>
      <c r="C799" t="s">
        <v>4163</v>
      </c>
      <c r="D799" t="s">
        <v>4191</v>
      </c>
      <c r="E799" t="s">
        <v>4220</v>
      </c>
      <c r="F799" t="s">
        <v>4249</v>
      </c>
      <c r="G799" s="90" t="str">
        <f t="shared" si="23"/>
        <v>Veicoli aziendali non targati (valore corrente)</v>
      </c>
    </row>
    <row r="800" spans="1:7" ht="37.5" x14ac:dyDescent="0.25">
      <c r="A800" t="s">
        <v>4088</v>
      </c>
      <c r="B800" t="s">
        <v>4135</v>
      </c>
      <c r="C800" t="s">
        <v>4164</v>
      </c>
      <c r="D800" t="s">
        <v>4192</v>
      </c>
      <c r="E800" t="s">
        <v>4221</v>
      </c>
      <c r="F800" t="s">
        <v>4250</v>
      </c>
      <c r="G800" s="90" t="str">
        <f t="shared" si="23"/>
        <v>Autoveicoli, rimorchi, macchinari da lavoro semoventi, veicoli elettrici e simili, salvo diversa assicurazione</v>
      </c>
    </row>
    <row r="801" spans="1:7" x14ac:dyDescent="0.25">
      <c r="A801" t="s">
        <v>4090</v>
      </c>
      <c r="B801" t="s">
        <v>4136</v>
      </c>
      <c r="C801" t="s">
        <v>4165</v>
      </c>
      <c r="D801" t="s">
        <v>4193</v>
      </c>
      <c r="E801" t="s">
        <v>4222</v>
      </c>
      <c r="F801" t="s">
        <v>4251</v>
      </c>
      <c r="G801" s="90" t="str">
        <f t="shared" si="23"/>
        <v>Proprietà di terzi affidata (prezzo di vendita/d’acquisto)</v>
      </c>
    </row>
    <row r="802" spans="1:7" x14ac:dyDescent="0.25">
      <c r="A802" t="s">
        <v>4091</v>
      </c>
      <c r="B802" t="s">
        <v>4137</v>
      </c>
      <c r="C802" t="s">
        <v>4166</v>
      </c>
      <c r="D802" t="s">
        <v>4194</v>
      </c>
      <c r="E802" t="s">
        <v>4223</v>
      </c>
      <c r="F802" t="s">
        <v>4252</v>
      </c>
      <c r="G802" s="90" t="str">
        <f t="shared" si="23"/>
        <v>Per elaborazione o stoccaggio, leasing o affitto</v>
      </c>
    </row>
    <row r="803" spans="1:7" x14ac:dyDescent="0.25">
      <c r="A803" t="s">
        <v>4092</v>
      </c>
      <c r="B803" t="s">
        <v>4138</v>
      </c>
      <c r="C803" t="s">
        <v>4167</v>
      </c>
      <c r="D803" t="s">
        <v>4195</v>
      </c>
      <c r="E803" t="s">
        <v>4224</v>
      </c>
      <c r="F803" t="s">
        <v>4253</v>
      </c>
      <c r="G803" s="90" t="str">
        <f t="shared" si="23"/>
        <v>TOTALE VALORE DI ASSICURAZIONE</v>
      </c>
    </row>
    <row r="804" spans="1:7" ht="37.5" customHeight="1" x14ac:dyDescent="0.25">
      <c r="A804" s="90" t="s">
        <v>4074</v>
      </c>
      <c r="B804" t="s">
        <v>4139</v>
      </c>
      <c r="C804" t="s">
        <v>4168</v>
      </c>
      <c r="D804" t="s">
        <v>4196</v>
      </c>
      <c r="E804" t="s">
        <v>4225</v>
      </c>
      <c r="F804" t="s">
        <v>4254</v>
      </c>
      <c r="G804" s="90" t="str">
        <f t="shared" si="23"/>
        <v>Persone chiave per l'azienda</v>
      </c>
    </row>
    <row r="805" spans="1:7" ht="28" customHeight="1" x14ac:dyDescent="0.25">
      <c r="A805" s="90" t="s">
        <v>4075</v>
      </c>
      <c r="B805" t="s">
        <v>4140</v>
      </c>
      <c r="C805" t="s">
        <v>4169</v>
      </c>
      <c r="D805" t="s">
        <v>4197</v>
      </c>
      <c r="E805" t="s">
        <v>4226</v>
      </c>
      <c r="F805" t="s">
        <v>4255</v>
      </c>
      <c r="G805" s="90" t="str">
        <f t="shared" si="23"/>
        <v>Rischio aziendale in caso di decesso persone chiave</v>
      </c>
    </row>
    <row r="806" spans="1:7" x14ac:dyDescent="0.25">
      <c r="G806" s="90">
        <f t="shared" si="23"/>
        <v>0</v>
      </c>
    </row>
    <row r="807" spans="1:7" x14ac:dyDescent="0.25">
      <c r="A807" t="s">
        <v>4256</v>
      </c>
      <c r="B807" t="s">
        <v>4265</v>
      </c>
      <c r="C807" t="s">
        <v>4274</v>
      </c>
      <c r="D807" t="s">
        <v>4282</v>
      </c>
      <c r="E807" t="s">
        <v>4291</v>
      </c>
      <c r="F807" t="s">
        <v>4300</v>
      </c>
      <c r="G807" s="90" t="str">
        <f t="shared" si="23"/>
        <v>Ditta individuale</v>
      </c>
    </row>
    <row r="808" spans="1:7" x14ac:dyDescent="0.25">
      <c r="A808" t="s">
        <v>4257</v>
      </c>
      <c r="B808" t="s">
        <v>4266</v>
      </c>
      <c r="C808" t="s">
        <v>4275</v>
      </c>
      <c r="D808" t="s">
        <v>4283</v>
      </c>
      <c r="E808" t="s">
        <v>4292</v>
      </c>
      <c r="F808" t="s">
        <v>4301</v>
      </c>
      <c r="G808" s="90" t="str">
        <f t="shared" si="23"/>
        <v>Società in nome collettivo</v>
      </c>
    </row>
    <row r="809" spans="1:7" x14ac:dyDescent="0.25">
      <c r="A809" t="s">
        <v>4258</v>
      </c>
      <c r="B809" t="s">
        <v>4267</v>
      </c>
      <c r="C809" t="s">
        <v>4276</v>
      </c>
      <c r="D809" t="s">
        <v>4284</v>
      </c>
      <c r="E809" t="s">
        <v>4293</v>
      </c>
      <c r="F809" t="s">
        <v>4302</v>
      </c>
      <c r="G809" s="90" t="str">
        <f t="shared" si="23"/>
        <v>Società in accomandita</v>
      </c>
    </row>
    <row r="810" spans="1:7" x14ac:dyDescent="0.25">
      <c r="A810" t="s">
        <v>4259</v>
      </c>
      <c r="B810" t="s">
        <v>4268</v>
      </c>
      <c r="C810" t="s">
        <v>4277</v>
      </c>
      <c r="D810" t="s">
        <v>4285</v>
      </c>
      <c r="E810" t="s">
        <v>4294</v>
      </c>
      <c r="F810" t="s">
        <v>4303</v>
      </c>
      <c r="G810" s="90" t="str">
        <f t="shared" si="23"/>
        <v>Società anonima</v>
      </c>
    </row>
    <row r="811" spans="1:7" x14ac:dyDescent="0.25">
      <c r="A811" t="s">
        <v>4260</v>
      </c>
      <c r="B811" t="s">
        <v>4269</v>
      </c>
      <c r="C811" t="s">
        <v>4278</v>
      </c>
      <c r="D811" t="s">
        <v>4286</v>
      </c>
      <c r="E811" t="s">
        <v>4295</v>
      </c>
      <c r="F811" t="s">
        <v>4304</v>
      </c>
      <c r="G811" s="90" t="str">
        <f t="shared" si="23"/>
        <v>Società a garanzia limitata</v>
      </c>
    </row>
    <row r="812" spans="1:7" x14ac:dyDescent="0.25">
      <c r="A812" t="s">
        <v>4261</v>
      </c>
      <c r="B812" t="s">
        <v>4270</v>
      </c>
      <c r="C812" t="s">
        <v>4279</v>
      </c>
      <c r="D812" t="s">
        <v>4287</v>
      </c>
      <c r="E812" t="s">
        <v>4296</v>
      </c>
      <c r="F812" t="s">
        <v>4305</v>
      </c>
      <c r="G812" s="90" t="str">
        <f t="shared" si="23"/>
        <v>Società cooperativa</v>
      </c>
    </row>
    <row r="813" spans="1:7" x14ac:dyDescent="0.25">
      <c r="A813" t="s">
        <v>4262</v>
      </c>
      <c r="B813" t="s">
        <v>4271</v>
      </c>
      <c r="C813" t="s">
        <v>4262</v>
      </c>
      <c r="D813" t="s">
        <v>4288</v>
      </c>
      <c r="E813" t="s">
        <v>4297</v>
      </c>
      <c r="F813" t="s">
        <v>4306</v>
      </c>
      <c r="G813" s="90" t="str">
        <f t="shared" si="23"/>
        <v>Succursale</v>
      </c>
    </row>
    <row r="814" spans="1:7" x14ac:dyDescent="0.25">
      <c r="A814" t="s">
        <v>4263</v>
      </c>
      <c r="B814" t="s">
        <v>4272</v>
      </c>
      <c r="C814" t="s">
        <v>4280</v>
      </c>
      <c r="D814" t="s">
        <v>4289</v>
      </c>
      <c r="E814" t="s">
        <v>4298</v>
      </c>
      <c r="F814" t="s">
        <v>4280</v>
      </c>
      <c r="G814" s="90" t="str">
        <f t="shared" si="23"/>
        <v>Associazione</v>
      </c>
    </row>
    <row r="815" spans="1:7" x14ac:dyDescent="0.25">
      <c r="A815" t="s">
        <v>4264</v>
      </c>
      <c r="B815" t="s">
        <v>4273</v>
      </c>
      <c r="C815" t="s">
        <v>4281</v>
      </c>
      <c r="D815" t="s">
        <v>4290</v>
      </c>
      <c r="E815" t="s">
        <v>4299</v>
      </c>
      <c r="F815" t="s">
        <v>4307</v>
      </c>
      <c r="G815" s="90" t="str">
        <f t="shared" si="23"/>
        <v>Fondazione</v>
      </c>
    </row>
    <row r="817" spans="1:7" x14ac:dyDescent="0.25">
      <c r="A817" t="s">
        <v>4308</v>
      </c>
      <c r="B817" t="s">
        <v>4309</v>
      </c>
      <c r="C817" t="s">
        <v>4311</v>
      </c>
      <c r="D817" t="s">
        <v>4313</v>
      </c>
      <c r="E817" t="s">
        <v>4315</v>
      </c>
      <c r="F817" t="s">
        <v>4317</v>
      </c>
      <c r="G817" s="90" t="str">
        <f t="shared" si="23"/>
        <v>ARGOMENTO</v>
      </c>
    </row>
    <row r="818" spans="1:7" x14ac:dyDescent="0.25">
      <c r="A818" t="s">
        <v>1079</v>
      </c>
      <c r="B818" t="s">
        <v>1073</v>
      </c>
      <c r="C818" t="s">
        <v>1085</v>
      </c>
      <c r="D818" t="s">
        <v>1094</v>
      </c>
      <c r="E818" t="s">
        <v>1103</v>
      </c>
      <c r="F818" t="s">
        <v>1112</v>
      </c>
      <c r="G818" s="90" t="str">
        <f t="shared" si="23"/>
        <v>PRIORITÀ</v>
      </c>
    </row>
    <row r="819" spans="1:7" x14ac:dyDescent="0.25">
      <c r="A819" t="s">
        <v>197</v>
      </c>
      <c r="B819" t="s">
        <v>4310</v>
      </c>
      <c r="C819" t="s">
        <v>4312</v>
      </c>
      <c r="D819" t="s">
        <v>4314</v>
      </c>
      <c r="E819" t="s">
        <v>4316</v>
      </c>
      <c r="F819" t="s">
        <v>4318</v>
      </c>
      <c r="G819" s="90" t="str">
        <f t="shared" si="23"/>
        <v>NOTE</v>
      </c>
    </row>
    <row r="820" spans="1:7" x14ac:dyDescent="0.25">
      <c r="D820"/>
    </row>
    <row r="821" spans="1:7" x14ac:dyDescent="0.25">
      <c r="A821" t="s">
        <v>4319</v>
      </c>
      <c r="B821" t="s">
        <v>4321</v>
      </c>
      <c r="C821" t="s">
        <v>4323</v>
      </c>
      <c r="D821" t="s">
        <v>4325</v>
      </c>
      <c r="E821" t="s">
        <v>4327</v>
      </c>
      <c r="F821" t="s">
        <v>4329</v>
      </c>
      <c r="G821" s="90" t="str">
        <f t="shared" si="23"/>
        <v>TIPOLOGIA DI BENE</v>
      </c>
    </row>
    <row r="822" spans="1:7" x14ac:dyDescent="0.25">
      <c r="A822" t="s">
        <v>4320</v>
      </c>
      <c r="B822" t="s">
        <v>4322</v>
      </c>
      <c r="C822" t="s">
        <v>4324</v>
      </c>
      <c r="D822" t="s">
        <v>4326</v>
      </c>
      <c r="E822" t="s">
        <v>4328</v>
      </c>
      <c r="F822" t="s">
        <v>4330</v>
      </c>
      <c r="G822" s="90" t="str">
        <f t="shared" si="23"/>
        <v>VALORE</v>
      </c>
    </row>
    <row r="823" spans="1:7" ht="25" x14ac:dyDescent="0.25">
      <c r="A823" t="s">
        <v>4355</v>
      </c>
      <c r="B823" t="s">
        <v>4356</v>
      </c>
      <c r="C823" t="s">
        <v>4357</v>
      </c>
      <c r="D823" t="s">
        <v>4358</v>
      </c>
      <c r="E823" t="s">
        <v>4359</v>
      </c>
      <c r="F823" t="s">
        <v>4360</v>
      </c>
      <c r="G823" s="90" t="str">
        <f t="shared" si="23"/>
        <v>SPECIFICHE AZIENDALI PER QUESTO RISCHIO</v>
      </c>
    </row>
    <row r="824" spans="1:7" x14ac:dyDescent="0.25">
      <c r="D824"/>
    </row>
    <row r="825" spans="1:7" x14ac:dyDescent="0.25">
      <c r="A825" t="s">
        <v>4331</v>
      </c>
      <c r="B825" t="s">
        <v>4332</v>
      </c>
      <c r="C825" t="s">
        <v>4333</v>
      </c>
      <c r="D825" t="s">
        <v>4334</v>
      </c>
      <c r="E825" t="s">
        <v>4335</v>
      </c>
      <c r="F825" t="s">
        <v>4336</v>
      </c>
      <c r="G825" s="90" t="str">
        <f t="shared" si="23"/>
        <v>COPERTURE ESISTENTI E DESIDERATE</v>
      </c>
    </row>
    <row r="826" spans="1:7" x14ac:dyDescent="0.25">
      <c r="A826" s="90" t="s">
        <v>4337</v>
      </c>
      <c r="B826" t="s">
        <v>4338</v>
      </c>
      <c r="C826" t="s">
        <v>4339</v>
      </c>
      <c r="D826" t="s">
        <v>4339</v>
      </c>
      <c r="E826" t="s">
        <v>4340</v>
      </c>
      <c r="F826" t="s">
        <v>4341</v>
      </c>
      <c r="G826" s="90" t="str">
        <f t="shared" si="23"/>
        <v xml:space="preserve">PMI </v>
      </c>
    </row>
    <row r="827" spans="1:7" x14ac:dyDescent="0.25">
      <c r="D827"/>
    </row>
    <row r="828" spans="1:7" x14ac:dyDescent="0.25">
      <c r="A828"/>
      <c r="D828"/>
    </row>
    <row r="829" spans="1:7" x14ac:dyDescent="0.25">
      <c r="A829" t="s">
        <v>4345</v>
      </c>
      <c r="B829" t="s">
        <v>4346</v>
      </c>
      <c r="C829" t="s">
        <v>4347</v>
      </c>
      <c r="D829" t="s">
        <v>4348</v>
      </c>
      <c r="E829" t="s">
        <v>4349</v>
      </c>
      <c r="F829" t="s">
        <v>4350</v>
      </c>
      <c r="G829" s="90" t="str">
        <f t="shared" ref="G829:G864" si="24">IF($C$1="IT",A829,IF($C$1="DE",B829,IF($C$1="FR",C829,IF($C$1="PT",D829,IF($C$1="RU",E829,IF($C$1="EN",F829,A829))))))</f>
        <v>VALORI IMMOBILIARI</v>
      </c>
    </row>
    <row r="830" spans="1:7" x14ac:dyDescent="0.25">
      <c r="A830" t="s">
        <v>4351</v>
      </c>
      <c r="B830" t="s">
        <v>4352</v>
      </c>
      <c r="C830" t="s">
        <v>4312</v>
      </c>
      <c r="D830" t="s">
        <v>4353</v>
      </c>
      <c r="E830" t="s">
        <v>4354</v>
      </c>
      <c r="F830" t="s">
        <v>4318</v>
      </c>
      <c r="G830" s="90" t="str">
        <f t="shared" si="24"/>
        <v>ALTRO</v>
      </c>
    </row>
    <row r="831" spans="1:7" ht="50" x14ac:dyDescent="0.25">
      <c r="A831" t="s">
        <v>4361</v>
      </c>
      <c r="B831" t="s">
        <v>4362</v>
      </c>
      <c r="C831" t="s">
        <v>4363</v>
      </c>
      <c r="D831" t="s">
        <v>4364</v>
      </c>
      <c r="E831" t="s">
        <v>4365</v>
      </c>
      <c r="F831" t="s">
        <v>4366</v>
      </c>
      <c r="G831" s="90" t="str">
        <f t="shared" si="24"/>
        <v>RISCHI IMMOBILIARI: (Immobili aziendali ad uso proprio, in affitto, in costruzione; rischi di base, rischi patrimoniali, rischi finanziari, alternative di finanziamento)</v>
      </c>
    </row>
    <row r="832" spans="1:7" ht="25" x14ac:dyDescent="0.25">
      <c r="A832" t="s">
        <v>4367</v>
      </c>
      <c r="B832" t="s">
        <v>4368</v>
      </c>
      <c r="C832" t="s">
        <v>4369</v>
      </c>
      <c r="D832" t="s">
        <v>4370</v>
      </c>
      <c r="E832" t="s">
        <v>4371</v>
      </c>
      <c r="F832" t="s">
        <v>4372</v>
      </c>
      <c r="G832" s="90" t="str">
        <f t="shared" si="24"/>
        <v>GARANZIE / IPOTECHE</v>
      </c>
    </row>
    <row r="833" spans="1:7" x14ac:dyDescent="0.25">
      <c r="D833"/>
    </row>
    <row r="834" spans="1:7" x14ac:dyDescent="0.25">
      <c r="A834" t="s">
        <v>4373</v>
      </c>
      <c r="B834" t="s">
        <v>4385</v>
      </c>
      <c r="C834" t="s">
        <v>4397</v>
      </c>
      <c r="D834" t="s">
        <v>4409</v>
      </c>
      <c r="E834" t="s">
        <v>4421</v>
      </c>
      <c r="F834" t="s">
        <v>4433</v>
      </c>
      <c r="G834" s="90" t="str">
        <f t="shared" si="24"/>
        <v>FLOTTA VEICOLI</v>
      </c>
    </row>
    <row r="835" spans="1:7" x14ac:dyDescent="0.25">
      <c r="A835" t="s">
        <v>4374</v>
      </c>
      <c r="B835" t="s">
        <v>4386</v>
      </c>
      <c r="C835" t="s">
        <v>4398</v>
      </c>
      <c r="D835" t="s">
        <v>4410</v>
      </c>
      <c r="E835" t="s">
        <v>4422</v>
      </c>
      <c r="F835" t="s">
        <v>4434</v>
      </c>
      <c r="G835" s="90" t="str">
        <f t="shared" si="24"/>
        <v>TIPOLOGIA DI VEICOLO</v>
      </c>
    </row>
    <row r="836" spans="1:7" x14ac:dyDescent="0.25">
      <c r="A836" t="s">
        <v>4375</v>
      </c>
      <c r="B836" t="s">
        <v>4387</v>
      </c>
      <c r="C836" t="s">
        <v>4399</v>
      </c>
      <c r="D836" t="s">
        <v>4411</v>
      </c>
      <c r="E836" t="s">
        <v>4423</v>
      </c>
      <c r="F836" t="s">
        <v>4435</v>
      </c>
      <c r="G836" s="90" t="str">
        <f t="shared" si="24"/>
        <v>TIPOLOGIA UTILIZZO</v>
      </c>
    </row>
    <row r="837" spans="1:7" x14ac:dyDescent="0.25">
      <c r="A837" t="s">
        <v>4376</v>
      </c>
      <c r="B837" t="s">
        <v>4388</v>
      </c>
      <c r="C837" t="s">
        <v>4400</v>
      </c>
      <c r="D837" t="s">
        <v>4412</v>
      </c>
      <c r="E837" t="s">
        <v>4424</v>
      </c>
      <c r="F837" t="s">
        <v>4436</v>
      </c>
      <c r="G837" s="90" t="str">
        <f t="shared" si="24"/>
        <v>TARGATO</v>
      </c>
    </row>
    <row r="838" spans="1:7" x14ac:dyDescent="0.25">
      <c r="A838" t="s">
        <v>4377</v>
      </c>
      <c r="B838" t="s">
        <v>4389</v>
      </c>
      <c r="C838" t="s">
        <v>4401</v>
      </c>
      <c r="D838" t="s">
        <v>4413</v>
      </c>
      <c r="E838" t="s">
        <v>4425</v>
      </c>
      <c r="F838" t="s">
        <v>4437</v>
      </c>
      <c r="G838" s="90" t="str">
        <f t="shared" si="24"/>
        <v>NON TARGATO</v>
      </c>
    </row>
    <row r="839" spans="1:7" x14ac:dyDescent="0.25">
      <c r="A839" t="s">
        <v>4378</v>
      </c>
      <c r="B839" t="s">
        <v>4390</v>
      </c>
      <c r="C839" t="s">
        <v>4402</v>
      </c>
      <c r="D839" t="s">
        <v>4414</v>
      </c>
      <c r="E839" t="s">
        <v>4426</v>
      </c>
      <c r="F839" t="s">
        <v>4438</v>
      </c>
      <c r="G839" s="90" t="str">
        <f t="shared" si="24"/>
        <v>MARCA E MODELLO</v>
      </c>
    </row>
    <row r="840" spans="1:7" x14ac:dyDescent="0.25">
      <c r="A840" t="s">
        <v>4379</v>
      </c>
      <c r="B840" t="s">
        <v>4391</v>
      </c>
      <c r="C840" t="s">
        <v>4403</v>
      </c>
      <c r="D840" t="s">
        <v>4415</v>
      </c>
      <c r="E840" t="s">
        <v>4427</v>
      </c>
      <c r="F840" t="s">
        <v>4439</v>
      </c>
      <c r="G840" s="90" t="str">
        <f t="shared" si="24"/>
        <v>CERTIFICATO TIPO</v>
      </c>
    </row>
    <row r="841" spans="1:7" x14ac:dyDescent="0.25">
      <c r="A841" t="s">
        <v>4380</v>
      </c>
      <c r="B841" t="s">
        <v>4392</v>
      </c>
      <c r="C841" t="s">
        <v>4404</v>
      </c>
      <c r="D841" t="s">
        <v>4416</v>
      </c>
      <c r="E841" t="s">
        <v>4428</v>
      </c>
      <c r="F841" t="s">
        <v>4440</v>
      </c>
      <c r="G841" s="90" t="str">
        <f t="shared" si="24"/>
        <v>MATRICOLA</v>
      </c>
    </row>
    <row r="842" spans="1:7" x14ac:dyDescent="0.25">
      <c r="A842" t="s">
        <v>4381</v>
      </c>
      <c r="B842" t="s">
        <v>4393</v>
      </c>
      <c r="C842" t="s">
        <v>4405</v>
      </c>
      <c r="D842" t="s">
        <v>4417</v>
      </c>
      <c r="E842" t="s">
        <v>4429</v>
      </c>
      <c r="F842" t="s">
        <v>4441</v>
      </c>
      <c r="G842" s="90" t="str">
        <f t="shared" si="24"/>
        <v>PRIMA MESSA IN CIRCOLAZIONE</v>
      </c>
    </row>
    <row r="843" spans="1:7" x14ac:dyDescent="0.25">
      <c r="A843" t="s">
        <v>4382</v>
      </c>
      <c r="B843" t="s">
        <v>4394</v>
      </c>
      <c r="C843" t="s">
        <v>4406</v>
      </c>
      <c r="D843" t="s">
        <v>4418</v>
      </c>
      <c r="E843" t="s">
        <v>4430</v>
      </c>
      <c r="F843" t="s">
        <v>4442</v>
      </c>
      <c r="G843" s="90" t="str">
        <f t="shared" si="24"/>
        <v>KM ANNO</v>
      </c>
    </row>
    <row r="844" spans="1:7" x14ac:dyDescent="0.25">
      <c r="A844" t="s">
        <v>4383</v>
      </c>
      <c r="B844" t="s">
        <v>4395</v>
      </c>
      <c r="C844" t="s">
        <v>4407</v>
      </c>
      <c r="D844" t="s">
        <v>4419</v>
      </c>
      <c r="E844" t="s">
        <v>4431</v>
      </c>
      <c r="F844" t="s">
        <v>4443</v>
      </c>
      <c r="G844" s="90" t="str">
        <f t="shared" si="24"/>
        <v>COPERTURA ATTUALE</v>
      </c>
    </row>
    <row r="845" spans="1:7" x14ac:dyDescent="0.25">
      <c r="A845" t="s">
        <v>4384</v>
      </c>
      <c r="B845" t="s">
        <v>4396</v>
      </c>
      <c r="C845" t="s">
        <v>4408</v>
      </c>
      <c r="D845" t="s">
        <v>4420</v>
      </c>
      <c r="E845" t="s">
        <v>4432</v>
      </c>
      <c r="F845" t="s">
        <v>4444</v>
      </c>
      <c r="G845" s="90" t="str">
        <f t="shared" si="24"/>
        <v>COPERTURA DESIDERATA</v>
      </c>
    </row>
    <row r="846" spans="1:7" x14ac:dyDescent="0.25">
      <c r="A846" t="s">
        <v>4445</v>
      </c>
      <c r="B846" t="s">
        <v>4446</v>
      </c>
      <c r="C846" t="s">
        <v>4447</v>
      </c>
      <c r="D846" t="s">
        <v>4448</v>
      </c>
      <c r="E846" t="s">
        <v>4449</v>
      </c>
      <c r="F846" t="s">
        <v>4450</v>
      </c>
      <c r="G846" s="90" t="str">
        <f t="shared" si="24"/>
        <v>VEICOLO</v>
      </c>
    </row>
    <row r="848" spans="1:7" x14ac:dyDescent="0.25">
      <c r="A848" t="s">
        <v>4451</v>
      </c>
      <c r="B848" t="s">
        <v>4459</v>
      </c>
      <c r="C848" t="s">
        <v>4467</v>
      </c>
      <c r="D848" t="s">
        <v>4475</v>
      </c>
      <c r="E848" t="s">
        <v>4483</v>
      </c>
      <c r="F848" t="s">
        <v>4491</v>
      </c>
      <c r="G848" s="90" t="str">
        <f t="shared" si="24"/>
        <v>IMMOBILE</v>
      </c>
    </row>
    <row r="849" spans="1:7" x14ac:dyDescent="0.25">
      <c r="A849" t="s">
        <v>4452</v>
      </c>
      <c r="B849" t="s">
        <v>4460</v>
      </c>
      <c r="C849" t="s">
        <v>4468</v>
      </c>
      <c r="D849" t="s">
        <v>4476</v>
      </c>
      <c r="E849" t="s">
        <v>4484</v>
      </c>
      <c r="F849" t="s">
        <v>4492</v>
      </c>
      <c r="G849" s="90" t="str">
        <f t="shared" si="24"/>
        <v>TIPOLOGIA IMMOBILE</v>
      </c>
    </row>
    <row r="850" spans="1:7" x14ac:dyDescent="0.25">
      <c r="A850" t="s">
        <v>4453</v>
      </c>
      <c r="B850" t="s">
        <v>4461</v>
      </c>
      <c r="C850" t="s">
        <v>4469</v>
      </c>
      <c r="D850" t="s">
        <v>4477</v>
      </c>
      <c r="E850" t="s">
        <v>4485</v>
      </c>
      <c r="F850" t="s">
        <v>4493</v>
      </c>
      <c r="G850" s="90" t="str">
        <f t="shared" si="24"/>
        <v>OBIETTIVI E UTILIZZI</v>
      </c>
    </row>
    <row r="851" spans="1:7" x14ac:dyDescent="0.25">
      <c r="A851" t="s">
        <v>4454</v>
      </c>
      <c r="B851" t="s">
        <v>4462</v>
      </c>
      <c r="C851" t="s">
        <v>4470</v>
      </c>
      <c r="D851" t="s">
        <v>4478</v>
      </c>
      <c r="E851" t="s">
        <v>4486</v>
      </c>
      <c r="F851" t="s">
        <v>4494</v>
      </c>
      <c r="G851" s="90" t="str">
        <f t="shared" si="24"/>
        <v>VALORE COMMERCIALE</v>
      </c>
    </row>
    <row r="852" spans="1:7" x14ac:dyDescent="0.25">
      <c r="A852" t="s">
        <v>4455</v>
      </c>
      <c r="B852" t="s">
        <v>4463</v>
      </c>
      <c r="C852" t="s">
        <v>4471</v>
      </c>
      <c r="D852" t="s">
        <v>4479</v>
      </c>
      <c r="E852" t="s">
        <v>4487</v>
      </c>
      <c r="F852" t="s">
        <v>4495</v>
      </c>
      <c r="G852" s="90" t="str">
        <f t="shared" si="24"/>
        <v>DEBITO IPOTECA</v>
      </c>
    </row>
    <row r="853" spans="1:7" x14ac:dyDescent="0.25">
      <c r="A853" t="s">
        <v>4456</v>
      </c>
      <c r="B853" t="s">
        <v>4464</v>
      </c>
      <c r="C853" t="s">
        <v>4472</v>
      </c>
      <c r="D853" t="s">
        <v>4480</v>
      </c>
      <c r="E853" t="s">
        <v>4488</v>
      </c>
      <c r="F853" t="s">
        <v>4496</v>
      </c>
      <c r="G853" s="90" t="str">
        <f t="shared" si="24"/>
        <v>TIPO AMMORTAMENTO</v>
      </c>
    </row>
    <row r="854" spans="1:7" x14ac:dyDescent="0.25">
      <c r="A854" t="s">
        <v>4457</v>
      </c>
      <c r="B854" t="s">
        <v>4465</v>
      </c>
      <c r="C854" t="s">
        <v>4473</v>
      </c>
      <c r="D854" t="s">
        <v>4481</v>
      </c>
      <c r="E854" t="s">
        <v>4489</v>
      </c>
      <c r="F854" t="s">
        <v>4497</v>
      </c>
      <c r="G854" s="90" t="str">
        <f t="shared" si="24"/>
        <v>ISTITUTO DI CREDITO</v>
      </c>
    </row>
    <row r="855" spans="1:7" x14ac:dyDescent="0.25">
      <c r="A855" t="s">
        <v>4458</v>
      </c>
      <c r="B855" t="s">
        <v>4466</v>
      </c>
      <c r="C855" t="s">
        <v>4474</v>
      </c>
      <c r="D855" t="s">
        <v>4482</v>
      </c>
      <c r="E855" t="s">
        <v>4490</v>
      </c>
      <c r="F855" t="s">
        <v>4498</v>
      </c>
      <c r="G855" s="90" t="str">
        <f t="shared" si="24"/>
        <v>SCADENZA CONTRATTO</v>
      </c>
    </row>
    <row r="857" spans="1:7" x14ac:dyDescent="0.25">
      <c r="A857" t="s">
        <v>4500</v>
      </c>
      <c r="B857" t="s">
        <v>4505</v>
      </c>
      <c r="C857" t="s">
        <v>4510</v>
      </c>
      <c r="D857" t="s">
        <v>4515</v>
      </c>
      <c r="E857" t="s">
        <v>4520</v>
      </c>
      <c r="F857" t="s">
        <v>4525</v>
      </c>
      <c r="G857" s="90" t="str">
        <f t="shared" si="24"/>
        <v>GESTIONE AZIENDALE</v>
      </c>
    </row>
    <row r="858" spans="1:7" x14ac:dyDescent="0.25">
      <c r="A858" t="s">
        <v>4501</v>
      </c>
      <c r="B858" t="s">
        <v>4506</v>
      </c>
      <c r="C858" t="s">
        <v>4511</v>
      </c>
      <c r="D858" t="s">
        <v>4516</v>
      </c>
      <c r="E858" t="s">
        <v>4521</v>
      </c>
      <c r="F858" t="s">
        <v>4526</v>
      </c>
      <c r="G858" s="90" t="str">
        <f t="shared" si="24"/>
        <v>PRODOTTO DELL'AZIENDA</v>
      </c>
    </row>
    <row r="859" spans="1:7" x14ac:dyDescent="0.25">
      <c r="A859" t="s">
        <v>4502</v>
      </c>
      <c r="B859" t="s">
        <v>4507</v>
      </c>
      <c r="C859" t="s">
        <v>4512</v>
      </c>
      <c r="D859" t="s">
        <v>4517</v>
      </c>
      <c r="E859" t="s">
        <v>4522</v>
      </c>
      <c r="F859" t="s">
        <v>4527</v>
      </c>
      <c r="G859" s="90" t="str">
        <f t="shared" si="24"/>
        <v>OBIETTIVI E SVILUPPI AZIENDALI</v>
      </c>
    </row>
    <row r="860" spans="1:7" x14ac:dyDescent="0.25">
      <c r="A860" t="s">
        <v>4503</v>
      </c>
      <c r="B860" t="s">
        <v>4508</v>
      </c>
      <c r="C860" t="s">
        <v>4513</v>
      </c>
      <c r="D860" t="s">
        <v>4518</v>
      </c>
      <c r="E860" t="s">
        <v>4523</v>
      </c>
      <c r="F860" t="s">
        <v>4528</v>
      </c>
      <c r="G860" s="90" t="str">
        <f t="shared" si="24"/>
        <v>FATTURATO</v>
      </c>
    </row>
    <row r="861" spans="1:7" ht="50" x14ac:dyDescent="0.25">
      <c r="A861" t="s">
        <v>4504</v>
      </c>
      <c r="B861" t="s">
        <v>4509</v>
      </c>
      <c r="C861" t="s">
        <v>4514</v>
      </c>
      <c r="D861" t="s">
        <v>4519</v>
      </c>
      <c r="E861" t="s">
        <v>4524</v>
      </c>
      <c r="F861" t="s">
        <v>4529</v>
      </c>
      <c r="G861" s="90" t="str">
        <f t="shared" si="24"/>
        <v>• RISCHI PATRIMONIALI DIRETTI: In caso di pretese RC, cause legali, rischio prodotto, rischio esercizio, rischio ambientale, rischio impianti</v>
      </c>
    </row>
    <row r="863" spans="1:7" ht="37.5" x14ac:dyDescent="0.25">
      <c r="A863" t="s">
        <v>4530</v>
      </c>
      <c r="B863" t="s">
        <v>4531</v>
      </c>
      <c r="C863" t="s">
        <v>4532</v>
      </c>
      <c r="D863" t="s">
        <v>4533</v>
      </c>
      <c r="E863" t="s">
        <v>4534</v>
      </c>
      <c r="F863" t="s">
        <v>4535</v>
      </c>
      <c r="G863" s="90" t="str">
        <f t="shared" si="24"/>
        <v>DIPENDENTI PER CUI LA DIREZIONE RITIENE OPPORTUNO PROPORRE UNA INFORMATIVA / VERIFICA PREVIDENZIALE</v>
      </c>
    </row>
    <row r="864" spans="1:7" x14ac:dyDescent="0.25">
      <c r="A864" t="s">
        <v>4545</v>
      </c>
      <c r="B864" t="s">
        <v>4546</v>
      </c>
      <c r="C864" t="s">
        <v>4547</v>
      </c>
      <c r="D864" t="s">
        <v>4548</v>
      </c>
      <c r="E864" t="s">
        <v>4549</v>
      </c>
      <c r="F864" t="s">
        <v>4550</v>
      </c>
      <c r="G864" s="90" t="str">
        <f t="shared" si="24"/>
        <v>Oneri per altri crediti:</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7C5A-91FC-4932-B900-D50493DAA898}">
  <dimension ref="A1:J58"/>
  <sheetViews>
    <sheetView showGridLines="0" showRowColHeaders="0" zoomScale="140" zoomScaleNormal="140" zoomScaleSheetLayoutView="170" workbookViewId="0">
      <selection activeCell="E1" sqref="E1:J1"/>
    </sheetView>
  </sheetViews>
  <sheetFormatPr defaultRowHeight="12.5" x14ac:dyDescent="0.25"/>
  <sheetData>
    <row r="1" spans="1:10" ht="14" x14ac:dyDescent="0.25">
      <c r="A1" s="265"/>
      <c r="B1" s="357"/>
      <c r="C1" s="362" t="str">
        <f>Traduzioni!$G$486</f>
        <v>Calcolo per</v>
      </c>
      <c r="D1" s="363"/>
      <c r="E1" s="1272" t="str">
        <f>Traduzioni!G701</f>
        <v>PMI ANALISI AZIENDALE</v>
      </c>
      <c r="F1" s="1273"/>
      <c r="G1" s="1273"/>
      <c r="H1" s="1273"/>
      <c r="I1" s="1273"/>
      <c r="J1" s="1274"/>
    </row>
    <row r="2" spans="1:10" ht="14" x14ac:dyDescent="0.25">
      <c r="A2" s="111"/>
      <c r="B2" s="356"/>
      <c r="C2" s="366" t="str">
        <f>'RENDITE CLIENTE'!$A$2</f>
        <v>Calcolo effettuato da:</v>
      </c>
      <c r="D2" s="368"/>
      <c r="E2" s="1275" t="str">
        <f>ANALYSIS!$B$3&amp;" - "&amp;'RENDITE CLIENTE'!$B$2</f>
        <v xml:space="preserve"> - NeoLife AG</v>
      </c>
      <c r="F2" s="1275"/>
      <c r="G2" s="1275"/>
      <c r="H2" s="1275"/>
      <c r="I2" s="1275"/>
      <c r="J2" s="1276"/>
    </row>
    <row r="3" spans="1:10" ht="14" x14ac:dyDescent="0.25">
      <c r="A3" s="111"/>
      <c r="B3" s="356"/>
      <c r="C3" s="366" t="str">
        <f>'RENDITE CLIENTE'!$A$3</f>
        <v>Parametri di calcolo:</v>
      </c>
      <c r="D3" s="368"/>
      <c r="E3" s="1277" t="str">
        <f>Traduzioni!G295</f>
        <v xml:space="preserve">Info fornite da: </v>
      </c>
      <c r="F3" s="1277"/>
      <c r="G3" s="1277"/>
      <c r="H3" s="1277"/>
      <c r="I3" s="1277"/>
      <c r="J3" s="1278"/>
    </row>
    <row r="4" spans="1:10" ht="14.5" thickBot="1" x14ac:dyDescent="0.3">
      <c r="A4" s="269"/>
      <c r="B4" s="358"/>
      <c r="C4" s="367" t="str">
        <f>'RENDITE CLIENTE'!$A$4</f>
        <v>Calcolo del:</v>
      </c>
      <c r="D4" s="369"/>
      <c r="E4" s="1279">
        <f ca="1">'RENDITE CLIENTE'!$B$4</f>
        <v>45680.292758449075</v>
      </c>
      <c r="F4" s="1279"/>
      <c r="G4" s="1279"/>
      <c r="H4" s="1279"/>
      <c r="I4" s="1279"/>
      <c r="J4" s="1280"/>
    </row>
    <row r="54" spans="1:10" ht="13" thickBot="1" x14ac:dyDescent="0.3"/>
    <row r="55" spans="1:10" ht="14" x14ac:dyDescent="0.25">
      <c r="A55" s="265"/>
      <c r="B55" s="357"/>
      <c r="C55" s="362" t="str">
        <f>Traduzioni!$G$486</f>
        <v>Calcolo per</v>
      </c>
      <c r="D55" s="363"/>
      <c r="E55" s="1272" t="str">
        <f>Traduzioni!G701</f>
        <v>PMI ANALISI AZIENDALE</v>
      </c>
      <c r="F55" s="1273"/>
      <c r="G55" s="1273"/>
      <c r="H55" s="1273"/>
      <c r="I55" s="1273"/>
      <c r="J55" s="1274"/>
    </row>
    <row r="56" spans="1:10" ht="14" x14ac:dyDescent="0.25">
      <c r="A56" s="111"/>
      <c r="B56" s="356"/>
      <c r="C56" s="366" t="str">
        <f>'RENDITE CLIENTE'!$A$2</f>
        <v>Calcolo effettuato da:</v>
      </c>
      <c r="D56" s="368"/>
      <c r="E56" s="1275" t="str">
        <f>ANALYSIS!$B$3&amp;" - "&amp;'RENDITE CLIENTE'!$B$2</f>
        <v xml:space="preserve"> - NeoLife AG</v>
      </c>
      <c r="F56" s="1275"/>
      <c r="G56" s="1275"/>
      <c r="H56" s="1275"/>
      <c r="I56" s="1275"/>
      <c r="J56" s="1276"/>
    </row>
    <row r="57" spans="1:10" ht="14" x14ac:dyDescent="0.25">
      <c r="A57" s="111"/>
      <c r="B57" s="356"/>
      <c r="C57" s="366" t="str">
        <f>'RENDITE CLIENTE'!$A$3</f>
        <v>Parametri di calcolo:</v>
      </c>
      <c r="D57" s="368"/>
      <c r="E57" s="1277" t="str">
        <f>'RENDITE CLIENTE'!$B$3&amp;" "&amp;ANALYSIS!$B$19</f>
        <v xml:space="preserve">Scala 44 AVS/AI/IPG + Info fornite da:  </v>
      </c>
      <c r="F57" s="1277"/>
      <c r="G57" s="1277"/>
      <c r="H57" s="1277"/>
      <c r="I57" s="1277"/>
      <c r="J57" s="1278"/>
    </row>
    <row r="58" spans="1:10" ht="14.5" thickBot="1" x14ac:dyDescent="0.3">
      <c r="A58" s="269"/>
      <c r="B58" s="358"/>
      <c r="C58" s="367" t="str">
        <f>'RENDITE CLIENTE'!$A$4</f>
        <v>Calcolo del:</v>
      </c>
      <c r="D58" s="369"/>
      <c r="E58" s="1279">
        <f ca="1">'RENDITE CLIENTE'!$B$4</f>
        <v>45680.292758449075</v>
      </c>
      <c r="F58" s="1279"/>
      <c r="G58" s="1279"/>
      <c r="H58" s="1279"/>
      <c r="I58" s="1279"/>
      <c r="J58" s="1280"/>
    </row>
  </sheetData>
  <sheetProtection sheet="1" objects="1" scenarios="1"/>
  <mergeCells count="8">
    <mergeCell ref="E57:J57"/>
    <mergeCell ref="E58:J58"/>
    <mergeCell ref="E1:J1"/>
    <mergeCell ref="E2:J2"/>
    <mergeCell ref="E3:J3"/>
    <mergeCell ref="E4:J4"/>
    <mergeCell ref="E55:J55"/>
    <mergeCell ref="E56:J56"/>
  </mergeCells>
  <pageMargins left="0.7" right="0.7" top="0.75" bottom="0.75" header="0.3" footer="0.3"/>
  <pageSetup orientation="portrait" r:id="rId1"/>
  <rowBreaks count="1" manualBreakCount="1">
    <brk id="5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6833A-DA4E-473B-94FD-33F447A80171}">
  <sheetPr codeName="Foglio5"/>
  <dimension ref="A1:E76"/>
  <sheetViews>
    <sheetView topLeftCell="A65" zoomScale="150" zoomScaleNormal="150" workbookViewId="0">
      <selection activeCell="C76" sqref="C76"/>
    </sheetView>
  </sheetViews>
  <sheetFormatPr defaultColWidth="11.453125" defaultRowHeight="12.5" x14ac:dyDescent="0.25"/>
  <cols>
    <col min="1" max="1" width="13.1796875" customWidth="1"/>
    <col min="2" max="2" width="18.81640625" customWidth="1"/>
    <col min="7" max="7" width="15.26953125" customWidth="1"/>
  </cols>
  <sheetData>
    <row r="1" spans="1:5" x14ac:dyDescent="0.25">
      <c r="A1" t="s">
        <v>18</v>
      </c>
    </row>
    <row r="3" spans="1:5" x14ac:dyDescent="0.25">
      <c r="A3" t="s">
        <v>26</v>
      </c>
      <c r="C3" s="9">
        <f>'PRIV-VALID.'!B14</f>
        <v>0</v>
      </c>
    </row>
    <row r="8" spans="1:5" x14ac:dyDescent="0.25">
      <c r="A8" t="s">
        <v>20</v>
      </c>
      <c r="B8" t="s">
        <v>21</v>
      </c>
      <c r="E8" t="s">
        <v>22</v>
      </c>
    </row>
    <row r="9" spans="1:5" x14ac:dyDescent="0.25">
      <c r="A9" t="s">
        <v>23</v>
      </c>
    </row>
    <row r="10" spans="1:5" x14ac:dyDescent="0.25">
      <c r="A10">
        <v>0</v>
      </c>
    </row>
    <row r="11" spans="1:5" x14ac:dyDescent="0.25">
      <c r="A11">
        <v>15120</v>
      </c>
      <c r="B11">
        <v>1260</v>
      </c>
      <c r="C11">
        <f>IF(C3&gt;A11,0,B11)</f>
        <v>1260</v>
      </c>
      <c r="E11">
        <f t="shared" ref="E11:E42" si="0">IF(C11=0,0,B11*0.4)</f>
        <v>504</v>
      </c>
    </row>
    <row r="12" spans="1:5" ht="26.9" customHeight="1" x14ac:dyDescent="0.25">
      <c r="A12">
        <v>16632</v>
      </c>
      <c r="B12">
        <v>1293</v>
      </c>
      <c r="C12">
        <f t="shared" ref="C12:C43" si="1">IF($C$3&gt;A12,0,IF($C$3&gt;A11,B12,0))</f>
        <v>0</v>
      </c>
      <c r="E12">
        <f t="shared" si="0"/>
        <v>0</v>
      </c>
    </row>
    <row r="13" spans="1:5" x14ac:dyDescent="0.25">
      <c r="A13">
        <v>18144</v>
      </c>
      <c r="B13">
        <v>1326</v>
      </c>
      <c r="C13">
        <f t="shared" si="1"/>
        <v>0</v>
      </c>
      <c r="E13">
        <f t="shared" si="0"/>
        <v>0</v>
      </c>
    </row>
    <row r="14" spans="1:5" x14ac:dyDescent="0.25">
      <c r="A14">
        <v>19656</v>
      </c>
      <c r="B14">
        <v>1358</v>
      </c>
      <c r="C14">
        <f t="shared" si="1"/>
        <v>0</v>
      </c>
      <c r="E14">
        <f t="shared" si="0"/>
        <v>0</v>
      </c>
    </row>
    <row r="15" spans="1:5" x14ac:dyDescent="0.25">
      <c r="A15">
        <v>21168</v>
      </c>
      <c r="B15">
        <v>1391</v>
      </c>
      <c r="C15">
        <f t="shared" si="1"/>
        <v>0</v>
      </c>
      <c r="E15">
        <f t="shared" si="0"/>
        <v>0</v>
      </c>
    </row>
    <row r="16" spans="1:5" x14ac:dyDescent="0.25">
      <c r="A16">
        <v>22680</v>
      </c>
      <c r="B16">
        <v>1424</v>
      </c>
      <c r="C16">
        <f t="shared" si="1"/>
        <v>0</v>
      </c>
      <c r="E16">
        <f t="shared" si="0"/>
        <v>0</v>
      </c>
    </row>
    <row r="17" spans="1:5" ht="25.4" customHeight="1" x14ac:dyDescent="0.25">
      <c r="A17">
        <v>24192</v>
      </c>
      <c r="B17">
        <v>1457</v>
      </c>
      <c r="C17">
        <f t="shared" si="1"/>
        <v>0</v>
      </c>
      <c r="E17">
        <f t="shared" si="0"/>
        <v>0</v>
      </c>
    </row>
    <row r="18" spans="1:5" x14ac:dyDescent="0.25">
      <c r="A18">
        <v>25704</v>
      </c>
      <c r="B18">
        <v>1489</v>
      </c>
      <c r="C18">
        <f t="shared" si="1"/>
        <v>0</v>
      </c>
      <c r="E18">
        <f t="shared" si="0"/>
        <v>0</v>
      </c>
    </row>
    <row r="19" spans="1:5" x14ac:dyDescent="0.25">
      <c r="A19">
        <v>27216</v>
      </c>
      <c r="B19">
        <v>1522</v>
      </c>
      <c r="C19">
        <f t="shared" si="1"/>
        <v>0</v>
      </c>
      <c r="E19">
        <f t="shared" si="0"/>
        <v>0</v>
      </c>
    </row>
    <row r="20" spans="1:5" x14ac:dyDescent="0.25">
      <c r="A20">
        <v>28728</v>
      </c>
      <c r="B20">
        <v>1555</v>
      </c>
      <c r="C20">
        <f t="shared" si="1"/>
        <v>0</v>
      </c>
      <c r="E20">
        <f t="shared" si="0"/>
        <v>0</v>
      </c>
    </row>
    <row r="21" spans="1:5" x14ac:dyDescent="0.25">
      <c r="A21">
        <v>30240</v>
      </c>
      <c r="B21">
        <v>1588</v>
      </c>
      <c r="C21">
        <f t="shared" si="1"/>
        <v>0</v>
      </c>
      <c r="E21">
        <f t="shared" si="0"/>
        <v>0</v>
      </c>
    </row>
    <row r="22" spans="1:5" ht="26.15" customHeight="1" x14ac:dyDescent="0.25">
      <c r="A22">
        <v>31752</v>
      </c>
      <c r="B22">
        <v>1620</v>
      </c>
      <c r="C22">
        <f t="shared" si="1"/>
        <v>0</v>
      </c>
      <c r="E22">
        <f t="shared" si="0"/>
        <v>0</v>
      </c>
    </row>
    <row r="23" spans="1:5" x14ac:dyDescent="0.25">
      <c r="A23">
        <v>33264</v>
      </c>
      <c r="B23">
        <v>1653</v>
      </c>
      <c r="C23">
        <f t="shared" si="1"/>
        <v>0</v>
      </c>
      <c r="E23">
        <f t="shared" si="0"/>
        <v>0</v>
      </c>
    </row>
    <row r="24" spans="1:5" x14ac:dyDescent="0.25">
      <c r="A24">
        <v>34776</v>
      </c>
      <c r="B24">
        <v>1689</v>
      </c>
      <c r="C24">
        <f t="shared" si="1"/>
        <v>0</v>
      </c>
      <c r="E24">
        <f t="shared" si="0"/>
        <v>0</v>
      </c>
    </row>
    <row r="25" spans="1:5" x14ac:dyDescent="0.25">
      <c r="A25">
        <v>36288</v>
      </c>
      <c r="B25">
        <v>1719</v>
      </c>
      <c r="C25">
        <f t="shared" si="1"/>
        <v>0</v>
      </c>
      <c r="E25">
        <f t="shared" si="0"/>
        <v>0</v>
      </c>
    </row>
    <row r="26" spans="1:5" x14ac:dyDescent="0.25">
      <c r="A26">
        <v>37800</v>
      </c>
      <c r="B26">
        <v>1751</v>
      </c>
      <c r="C26">
        <f t="shared" si="1"/>
        <v>0</v>
      </c>
      <c r="E26">
        <f t="shared" si="0"/>
        <v>0</v>
      </c>
    </row>
    <row r="27" spans="1:5" ht="26.9" customHeight="1" x14ac:dyDescent="0.25">
      <c r="A27">
        <v>39312</v>
      </c>
      <c r="B27">
        <v>1784</v>
      </c>
      <c r="C27">
        <f t="shared" si="1"/>
        <v>0</v>
      </c>
      <c r="E27">
        <f t="shared" si="0"/>
        <v>0</v>
      </c>
    </row>
    <row r="28" spans="1:5" x14ac:dyDescent="0.25">
      <c r="A28">
        <v>40824</v>
      </c>
      <c r="B28">
        <v>1817</v>
      </c>
      <c r="C28">
        <f t="shared" si="1"/>
        <v>0</v>
      </c>
      <c r="E28">
        <f t="shared" si="0"/>
        <v>0</v>
      </c>
    </row>
    <row r="29" spans="1:5" x14ac:dyDescent="0.25">
      <c r="A29">
        <v>42336</v>
      </c>
      <c r="B29">
        <v>1850</v>
      </c>
      <c r="C29">
        <f t="shared" si="1"/>
        <v>0</v>
      </c>
      <c r="E29">
        <f t="shared" si="0"/>
        <v>0</v>
      </c>
    </row>
    <row r="30" spans="1:5" x14ac:dyDescent="0.25">
      <c r="A30">
        <v>43848</v>
      </c>
      <c r="B30">
        <v>1882</v>
      </c>
      <c r="C30">
        <f t="shared" si="1"/>
        <v>0</v>
      </c>
      <c r="E30">
        <f t="shared" si="0"/>
        <v>0</v>
      </c>
    </row>
    <row r="31" spans="1:5" x14ac:dyDescent="0.25">
      <c r="A31">
        <v>45360</v>
      </c>
      <c r="B31">
        <v>1915</v>
      </c>
      <c r="C31">
        <f t="shared" si="1"/>
        <v>0</v>
      </c>
      <c r="E31">
        <f t="shared" si="0"/>
        <v>0</v>
      </c>
    </row>
    <row r="32" spans="1:5" x14ac:dyDescent="0.25">
      <c r="A32">
        <v>46872</v>
      </c>
      <c r="B32">
        <v>1935</v>
      </c>
      <c r="C32">
        <f t="shared" si="1"/>
        <v>0</v>
      </c>
      <c r="E32">
        <f t="shared" si="0"/>
        <v>0</v>
      </c>
    </row>
    <row r="33" spans="1:5" x14ac:dyDescent="0.25">
      <c r="A33">
        <v>48384</v>
      </c>
      <c r="B33">
        <v>1956</v>
      </c>
      <c r="C33">
        <f t="shared" si="1"/>
        <v>0</v>
      </c>
      <c r="E33">
        <f t="shared" si="0"/>
        <v>0</v>
      </c>
    </row>
    <row r="34" spans="1:5" x14ac:dyDescent="0.25">
      <c r="A34">
        <v>49896</v>
      </c>
      <c r="B34">
        <v>1976</v>
      </c>
      <c r="C34">
        <f t="shared" si="1"/>
        <v>0</v>
      </c>
      <c r="E34">
        <f t="shared" si="0"/>
        <v>0</v>
      </c>
    </row>
    <row r="35" spans="1:5" x14ac:dyDescent="0.25">
      <c r="A35">
        <v>51408</v>
      </c>
      <c r="B35">
        <v>1996</v>
      </c>
      <c r="C35">
        <f t="shared" si="1"/>
        <v>0</v>
      </c>
      <c r="E35">
        <f t="shared" si="0"/>
        <v>0</v>
      </c>
    </row>
    <row r="36" spans="1:5" x14ac:dyDescent="0.25">
      <c r="A36">
        <v>52920</v>
      </c>
      <c r="B36">
        <v>2016</v>
      </c>
      <c r="C36">
        <f t="shared" si="1"/>
        <v>0</v>
      </c>
      <c r="E36">
        <f t="shared" si="0"/>
        <v>0</v>
      </c>
    </row>
    <row r="37" spans="1:5" x14ac:dyDescent="0.25">
      <c r="A37">
        <v>54432</v>
      </c>
      <c r="B37">
        <v>2036</v>
      </c>
      <c r="C37">
        <f t="shared" si="1"/>
        <v>0</v>
      </c>
      <c r="E37">
        <f t="shared" si="0"/>
        <v>0</v>
      </c>
    </row>
    <row r="38" spans="1:5" x14ac:dyDescent="0.25">
      <c r="A38">
        <v>55944</v>
      </c>
      <c r="B38">
        <v>2056</v>
      </c>
      <c r="C38">
        <f t="shared" si="1"/>
        <v>0</v>
      </c>
      <c r="E38">
        <f t="shared" si="0"/>
        <v>0</v>
      </c>
    </row>
    <row r="39" spans="1:5" x14ac:dyDescent="0.25">
      <c r="A39">
        <v>57456</v>
      </c>
      <c r="B39">
        <v>2076</v>
      </c>
      <c r="C39">
        <f t="shared" si="1"/>
        <v>0</v>
      </c>
      <c r="E39">
        <f t="shared" si="0"/>
        <v>0</v>
      </c>
    </row>
    <row r="40" spans="1:5" x14ac:dyDescent="0.25">
      <c r="A40">
        <v>58968</v>
      </c>
      <c r="B40">
        <v>2097</v>
      </c>
      <c r="C40">
        <f t="shared" si="1"/>
        <v>0</v>
      </c>
      <c r="E40">
        <f t="shared" si="0"/>
        <v>0</v>
      </c>
    </row>
    <row r="41" spans="1:5" x14ac:dyDescent="0.25">
      <c r="A41">
        <v>60480</v>
      </c>
      <c r="B41">
        <v>2117</v>
      </c>
      <c r="C41">
        <f t="shared" si="1"/>
        <v>0</v>
      </c>
      <c r="E41">
        <f t="shared" si="0"/>
        <v>0</v>
      </c>
    </row>
    <row r="42" spans="1:5" x14ac:dyDescent="0.25">
      <c r="A42">
        <v>61992</v>
      </c>
      <c r="B42">
        <v>2137</v>
      </c>
      <c r="C42">
        <f t="shared" si="1"/>
        <v>0</v>
      </c>
      <c r="E42">
        <f t="shared" si="0"/>
        <v>0</v>
      </c>
    </row>
    <row r="43" spans="1:5" x14ac:dyDescent="0.25">
      <c r="A43">
        <v>63504</v>
      </c>
      <c r="B43">
        <v>2157</v>
      </c>
      <c r="C43">
        <f t="shared" si="1"/>
        <v>0</v>
      </c>
      <c r="E43">
        <f t="shared" ref="E43:E61" si="2">IF(C43=0,0,B43*0.4)</f>
        <v>0</v>
      </c>
    </row>
    <row r="44" spans="1:5" x14ac:dyDescent="0.25">
      <c r="A44">
        <v>65016</v>
      </c>
      <c r="B44">
        <v>1177</v>
      </c>
      <c r="C44">
        <f t="shared" ref="C44:C60" si="3">IF($C$3&gt;A44,0,IF($C$3&gt;A43,B44,0))</f>
        <v>0</v>
      </c>
      <c r="E44">
        <f t="shared" si="2"/>
        <v>0</v>
      </c>
    </row>
    <row r="45" spans="1:5" x14ac:dyDescent="0.25">
      <c r="A45">
        <v>66528</v>
      </c>
      <c r="B45">
        <v>2197</v>
      </c>
      <c r="C45">
        <f t="shared" si="3"/>
        <v>0</v>
      </c>
      <c r="E45">
        <f t="shared" si="2"/>
        <v>0</v>
      </c>
    </row>
    <row r="46" spans="1:5" x14ac:dyDescent="0.25">
      <c r="A46">
        <v>68040</v>
      </c>
      <c r="B46">
        <v>2218</v>
      </c>
      <c r="C46">
        <f t="shared" si="3"/>
        <v>0</v>
      </c>
      <c r="E46">
        <f t="shared" si="2"/>
        <v>0</v>
      </c>
    </row>
    <row r="47" spans="1:5" x14ac:dyDescent="0.25">
      <c r="A47">
        <v>69552</v>
      </c>
      <c r="B47">
        <v>2238</v>
      </c>
      <c r="C47">
        <f t="shared" si="3"/>
        <v>0</v>
      </c>
      <c r="E47">
        <f t="shared" si="2"/>
        <v>0</v>
      </c>
    </row>
    <row r="48" spans="1:5" x14ac:dyDescent="0.25">
      <c r="A48">
        <v>71064</v>
      </c>
      <c r="B48">
        <v>2258</v>
      </c>
      <c r="C48">
        <f t="shared" si="3"/>
        <v>0</v>
      </c>
      <c r="E48">
        <f t="shared" si="2"/>
        <v>0</v>
      </c>
    </row>
    <row r="49" spans="1:5" x14ac:dyDescent="0.25">
      <c r="A49">
        <v>72576</v>
      </c>
      <c r="B49">
        <v>2278</v>
      </c>
      <c r="C49">
        <f t="shared" si="3"/>
        <v>0</v>
      </c>
      <c r="E49">
        <f t="shared" si="2"/>
        <v>0</v>
      </c>
    </row>
    <row r="50" spans="1:5" x14ac:dyDescent="0.25">
      <c r="A50">
        <v>74088</v>
      </c>
      <c r="B50">
        <v>2298</v>
      </c>
      <c r="C50">
        <f t="shared" si="3"/>
        <v>0</v>
      </c>
      <c r="E50">
        <f t="shared" si="2"/>
        <v>0</v>
      </c>
    </row>
    <row r="51" spans="1:5" x14ac:dyDescent="0.25">
      <c r="A51">
        <v>75600</v>
      </c>
      <c r="B51">
        <v>2318</v>
      </c>
      <c r="C51">
        <f t="shared" si="3"/>
        <v>0</v>
      </c>
      <c r="E51">
        <f t="shared" si="2"/>
        <v>0</v>
      </c>
    </row>
    <row r="52" spans="1:5" x14ac:dyDescent="0.25">
      <c r="A52">
        <v>77112</v>
      </c>
      <c r="B52">
        <v>2339</v>
      </c>
      <c r="C52">
        <f t="shared" si="3"/>
        <v>0</v>
      </c>
      <c r="E52">
        <f t="shared" si="2"/>
        <v>0</v>
      </c>
    </row>
    <row r="53" spans="1:5" x14ac:dyDescent="0.25">
      <c r="A53">
        <v>78624</v>
      </c>
      <c r="B53">
        <v>2359</v>
      </c>
      <c r="C53">
        <f t="shared" si="3"/>
        <v>0</v>
      </c>
      <c r="E53">
        <f t="shared" si="2"/>
        <v>0</v>
      </c>
    </row>
    <row r="54" spans="1:5" x14ac:dyDescent="0.25">
      <c r="A54">
        <v>80136</v>
      </c>
      <c r="B54">
        <v>2379</v>
      </c>
      <c r="C54">
        <f t="shared" si="3"/>
        <v>0</v>
      </c>
      <c r="E54">
        <f t="shared" si="2"/>
        <v>0</v>
      </c>
    </row>
    <row r="55" spans="1:5" x14ac:dyDescent="0.25">
      <c r="A55">
        <v>81648</v>
      </c>
      <c r="B55">
        <v>2399</v>
      </c>
      <c r="C55">
        <f t="shared" si="3"/>
        <v>0</v>
      </c>
      <c r="E55">
        <f t="shared" si="2"/>
        <v>0</v>
      </c>
    </row>
    <row r="56" spans="1:5" x14ac:dyDescent="0.25">
      <c r="A56">
        <v>83160</v>
      </c>
      <c r="B56">
        <v>2419</v>
      </c>
      <c r="C56">
        <f t="shared" si="3"/>
        <v>0</v>
      </c>
      <c r="E56">
        <f t="shared" si="2"/>
        <v>0</v>
      </c>
    </row>
    <row r="57" spans="1:5" x14ac:dyDescent="0.25">
      <c r="A57">
        <v>84672</v>
      </c>
      <c r="B57">
        <v>2439</v>
      </c>
      <c r="C57">
        <f t="shared" si="3"/>
        <v>0</v>
      </c>
      <c r="E57">
        <f t="shared" si="2"/>
        <v>0</v>
      </c>
    </row>
    <row r="58" spans="1:5" x14ac:dyDescent="0.25">
      <c r="A58">
        <v>86184</v>
      </c>
      <c r="B58">
        <v>2460</v>
      </c>
      <c r="C58">
        <f t="shared" si="3"/>
        <v>0</v>
      </c>
      <c r="E58">
        <f t="shared" si="2"/>
        <v>0</v>
      </c>
    </row>
    <row r="59" spans="1:5" x14ac:dyDescent="0.25">
      <c r="A59">
        <v>87696</v>
      </c>
      <c r="B59">
        <v>2480</v>
      </c>
      <c r="C59">
        <f t="shared" si="3"/>
        <v>0</v>
      </c>
      <c r="E59">
        <f t="shared" si="2"/>
        <v>0</v>
      </c>
    </row>
    <row r="60" spans="1:5" x14ac:dyDescent="0.25">
      <c r="A60">
        <v>89208</v>
      </c>
      <c r="B60">
        <v>2500</v>
      </c>
      <c r="C60">
        <f t="shared" si="3"/>
        <v>0</v>
      </c>
      <c r="E60">
        <f t="shared" si="2"/>
        <v>0</v>
      </c>
    </row>
    <row r="61" spans="1:5" x14ac:dyDescent="0.25">
      <c r="A61">
        <v>90720</v>
      </c>
      <c r="B61">
        <v>2520</v>
      </c>
      <c r="C61">
        <f>IF($C$3&gt;A61,B61,IF($C$3&gt;A60,B61,0))</f>
        <v>0</v>
      </c>
      <c r="E61">
        <f t="shared" si="2"/>
        <v>0</v>
      </c>
    </row>
    <row r="63" spans="1:5" x14ac:dyDescent="0.25">
      <c r="B63" t="s">
        <v>24</v>
      </c>
      <c r="C63" s="6">
        <f>C11+C12+C13+C14+C15+C16+C17+C18+C19+C20+C21+C22+C23+C24+C25+C26+C27+C28+C29+C30+C31+C32+C33+C34+C35+C36+C37+C38+C39+C40+C41+C42+C43+C44+C45+C46+C47+C48+C49+C50+C51+C52+C53+C54+C55+C56+C57+C58+C59+C60+C61</f>
        <v>1260</v>
      </c>
      <c r="D63" s="6"/>
      <c r="E63" s="6">
        <f>E11+E12+E13+E14+E15+E16+E17+E18+E19+E20+E21+E22+E23+E24+E25+E26+E27+E28+E29+E30+E31+E32+E33+E34+E35+E36+E37+E38+E39+E40+E41+E42+E43+E44+E45+E46+E47+E48+E49+E50+E51+E52+E53+E54+E55+E56+E57+E58+E59+E60+E61</f>
        <v>504</v>
      </c>
    </row>
    <row r="64" spans="1:5" x14ac:dyDescent="0.25">
      <c r="C64" s="6"/>
      <c r="D64" s="6"/>
      <c r="E64" s="6"/>
    </row>
    <row r="65" spans="2:5" x14ac:dyDescent="0.25">
      <c r="B65" t="s">
        <v>24</v>
      </c>
      <c r="C65" s="6">
        <f>C63/44*'PRIV-VALID.'!B27</f>
        <v>1260</v>
      </c>
      <c r="D65" s="6"/>
      <c r="E65" s="6">
        <f>E63*'PRIV-VALID.'!B12/44*'PRIV-VALID.'!B27</f>
        <v>0</v>
      </c>
    </row>
    <row r="66" spans="2:5" x14ac:dyDescent="0.25">
      <c r="C66" s="6"/>
      <c r="D66" s="6"/>
      <c r="E66" s="6"/>
    </row>
    <row r="67" spans="2:5" x14ac:dyDescent="0.25">
      <c r="B67" t="s">
        <v>25</v>
      </c>
      <c r="C67" s="6">
        <f>C65+E65</f>
        <v>1260</v>
      </c>
      <c r="D67" s="6"/>
      <c r="E67" s="6"/>
    </row>
    <row r="68" spans="2:5" x14ac:dyDescent="0.25">
      <c r="C68" s="6"/>
      <c r="D68" s="6"/>
      <c r="E68" s="6"/>
    </row>
    <row r="69" spans="2:5" x14ac:dyDescent="0.25">
      <c r="C69" s="6"/>
      <c r="D69" s="6"/>
      <c r="E69" s="6"/>
    </row>
    <row r="70" spans="2:5" x14ac:dyDescent="0.25">
      <c r="C70" s="6"/>
      <c r="D70" s="6"/>
      <c r="E70" s="6"/>
    </row>
    <row r="71" spans="2:5" x14ac:dyDescent="0.25">
      <c r="B71" t="s">
        <v>27</v>
      </c>
      <c r="C71" s="6">
        <f>C65+'scala44 partner'!C65</f>
        <v>1260</v>
      </c>
      <c r="D71" s="6"/>
      <c r="E71" s="6"/>
    </row>
    <row r="72" spans="2:5" x14ac:dyDescent="0.25">
      <c r="B72" t="s">
        <v>28</v>
      </c>
      <c r="C72" s="6">
        <f>B61*1.5</f>
        <v>3780</v>
      </c>
      <c r="D72" s="6"/>
      <c r="E72" s="6"/>
    </row>
    <row r="73" spans="2:5" x14ac:dyDescent="0.25">
      <c r="C73" s="6"/>
      <c r="D73" s="6"/>
      <c r="E73" s="6"/>
    </row>
    <row r="74" spans="2:5" x14ac:dyDescent="0.25">
      <c r="B74" t="s">
        <v>29</v>
      </c>
      <c r="C74" s="6">
        <f>IF(C71&gt;C72,(C65/C71*C72),C65)</f>
        <v>1260</v>
      </c>
      <c r="D74" s="6"/>
      <c r="E74" s="6"/>
    </row>
    <row r="75" spans="2:5" x14ac:dyDescent="0.25">
      <c r="C75" s="6"/>
      <c r="D75" s="6"/>
      <c r="E75" s="6"/>
    </row>
    <row r="76" spans="2:5" x14ac:dyDescent="0.25">
      <c r="B76" t="s">
        <v>30</v>
      </c>
      <c r="C76" s="6">
        <f>IF(C71&gt;C72,'scala44 partner'!C65/C71*C72,'scala44 partner'!C63)</f>
        <v>1260</v>
      </c>
      <c r="D76" s="6"/>
      <c r="E76" s="6"/>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Roman,Normale"&amp;12&amp;A</oddHeader>
    <oddFooter>&amp;C&amp;"Times New Roman,Normale"&amp;12Pagina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2B79-D67C-496D-A924-5642B696B29D}">
  <dimension ref="A1:D41"/>
  <sheetViews>
    <sheetView workbookViewId="0">
      <selection activeCell="F29" sqref="F29"/>
    </sheetView>
  </sheetViews>
  <sheetFormatPr defaultRowHeight="12.5" x14ac:dyDescent="0.25"/>
  <cols>
    <col min="1" max="1" width="15" customWidth="1"/>
  </cols>
  <sheetData>
    <row r="1" spans="1:4" x14ac:dyDescent="0.25">
      <c r="A1" t="s">
        <v>360</v>
      </c>
    </row>
    <row r="3" spans="1:4" x14ac:dyDescent="0.25">
      <c r="A3" t="s">
        <v>49</v>
      </c>
      <c r="B3" s="7">
        <f>100%+FIGLI!C15</f>
        <v>1.06</v>
      </c>
      <c r="C3" s="7">
        <f>100%+FIGLI!D15</f>
        <v>1.06</v>
      </c>
      <c r="D3" s="7">
        <f>100%+FIGLI!E15</f>
        <v>1.06</v>
      </c>
    </row>
    <row r="5" spans="1:4" x14ac:dyDescent="0.25">
      <c r="A5" t="s">
        <v>321</v>
      </c>
      <c r="B5">
        <v>1</v>
      </c>
      <c r="C5">
        <v>2</v>
      </c>
      <c r="D5">
        <v>3</v>
      </c>
    </row>
    <row r="6" spans="1:4" x14ac:dyDescent="0.25">
      <c r="A6">
        <v>0</v>
      </c>
      <c r="B6">
        <v>0</v>
      </c>
      <c r="C6">
        <v>0</v>
      </c>
      <c r="D6">
        <v>0</v>
      </c>
    </row>
    <row r="7" spans="1:4" x14ac:dyDescent="0.25">
      <c r="A7">
        <v>1</v>
      </c>
      <c r="B7">
        <f>ANALYSIS!B154*12</f>
        <v>0</v>
      </c>
      <c r="C7">
        <f>ANALYSIS!E154*12</f>
        <v>0</v>
      </c>
      <c r="D7">
        <f>ANALYSIS!I154*12</f>
        <v>0</v>
      </c>
    </row>
    <row r="8" spans="1:4" x14ac:dyDescent="0.25">
      <c r="A8">
        <v>2</v>
      </c>
      <c r="B8">
        <f>(B$7+B7+FIGLI!C13)*B3</f>
        <v>0</v>
      </c>
      <c r="C8">
        <f>(C$7+C7+FIGLI!D13)*C3</f>
        <v>0</v>
      </c>
      <c r="D8">
        <f>(D$7+D7+FIGLI!E13)*D3</f>
        <v>0</v>
      </c>
    </row>
    <row r="9" spans="1:4" x14ac:dyDescent="0.25">
      <c r="A9">
        <v>3</v>
      </c>
      <c r="B9">
        <f>(B$7+B8)*B$3</f>
        <v>0</v>
      </c>
      <c r="C9">
        <f>(C$7+C8)*C$3</f>
        <v>0</v>
      </c>
      <c r="D9">
        <f>(D$7+D8)*D$3</f>
        <v>0</v>
      </c>
    </row>
    <row r="10" spans="1:4" x14ac:dyDescent="0.25">
      <c r="A10">
        <v>4</v>
      </c>
      <c r="B10">
        <f t="shared" ref="B10:B41" si="0">(B$7+B9)*B$3</f>
        <v>0</v>
      </c>
      <c r="C10">
        <f t="shared" ref="C10:C41" si="1">(C$7+C9)*C$3</f>
        <v>0</v>
      </c>
      <c r="D10">
        <f t="shared" ref="D10:D41" si="2">(D$7+D9)*D$3</f>
        <v>0</v>
      </c>
    </row>
    <row r="11" spans="1:4" x14ac:dyDescent="0.25">
      <c r="A11">
        <v>5</v>
      </c>
      <c r="B11">
        <f t="shared" si="0"/>
        <v>0</v>
      </c>
      <c r="C11">
        <f t="shared" si="1"/>
        <v>0</v>
      </c>
      <c r="D11">
        <f t="shared" si="2"/>
        <v>0</v>
      </c>
    </row>
    <row r="12" spans="1:4" x14ac:dyDescent="0.25">
      <c r="A12">
        <v>6</v>
      </c>
      <c r="B12">
        <f t="shared" si="0"/>
        <v>0</v>
      </c>
      <c r="C12">
        <f t="shared" si="1"/>
        <v>0</v>
      </c>
      <c r="D12">
        <f t="shared" si="2"/>
        <v>0</v>
      </c>
    </row>
    <row r="13" spans="1:4" x14ac:dyDescent="0.25">
      <c r="A13">
        <v>7</v>
      </c>
      <c r="B13">
        <f t="shared" si="0"/>
        <v>0</v>
      </c>
      <c r="C13">
        <f t="shared" si="1"/>
        <v>0</v>
      </c>
      <c r="D13">
        <f t="shared" si="2"/>
        <v>0</v>
      </c>
    </row>
    <row r="14" spans="1:4" x14ac:dyDescent="0.25">
      <c r="A14">
        <v>8</v>
      </c>
      <c r="B14">
        <f t="shared" si="0"/>
        <v>0</v>
      </c>
      <c r="C14">
        <f t="shared" si="1"/>
        <v>0</v>
      </c>
      <c r="D14">
        <f t="shared" si="2"/>
        <v>0</v>
      </c>
    </row>
    <row r="15" spans="1:4" x14ac:dyDescent="0.25">
      <c r="A15">
        <v>9</v>
      </c>
      <c r="B15">
        <f t="shared" si="0"/>
        <v>0</v>
      </c>
      <c r="C15">
        <f t="shared" si="1"/>
        <v>0</v>
      </c>
      <c r="D15">
        <f t="shared" si="2"/>
        <v>0</v>
      </c>
    </row>
    <row r="16" spans="1:4" x14ac:dyDescent="0.25">
      <c r="A16">
        <v>10</v>
      </c>
      <c r="B16">
        <f t="shared" si="0"/>
        <v>0</v>
      </c>
      <c r="C16">
        <f t="shared" si="1"/>
        <v>0</v>
      </c>
      <c r="D16">
        <f t="shared" si="2"/>
        <v>0</v>
      </c>
    </row>
    <row r="17" spans="1:4" x14ac:dyDescent="0.25">
      <c r="A17">
        <v>11</v>
      </c>
      <c r="B17">
        <f t="shared" si="0"/>
        <v>0</v>
      </c>
      <c r="C17">
        <f t="shared" si="1"/>
        <v>0</v>
      </c>
      <c r="D17">
        <f t="shared" si="2"/>
        <v>0</v>
      </c>
    </row>
    <row r="18" spans="1:4" x14ac:dyDescent="0.25">
      <c r="A18">
        <v>12</v>
      </c>
      <c r="B18">
        <f t="shared" si="0"/>
        <v>0</v>
      </c>
      <c r="C18">
        <f t="shared" si="1"/>
        <v>0</v>
      </c>
      <c r="D18">
        <f t="shared" si="2"/>
        <v>0</v>
      </c>
    </row>
    <row r="19" spans="1:4" x14ac:dyDescent="0.25">
      <c r="A19">
        <v>13</v>
      </c>
      <c r="B19">
        <f t="shared" si="0"/>
        <v>0</v>
      </c>
      <c r="C19">
        <f t="shared" si="1"/>
        <v>0</v>
      </c>
      <c r="D19">
        <f t="shared" si="2"/>
        <v>0</v>
      </c>
    </row>
    <row r="20" spans="1:4" x14ac:dyDescent="0.25">
      <c r="A20">
        <v>14</v>
      </c>
      <c r="B20">
        <f t="shared" si="0"/>
        <v>0</v>
      </c>
      <c r="C20">
        <f t="shared" si="1"/>
        <v>0</v>
      </c>
      <c r="D20">
        <f t="shared" si="2"/>
        <v>0</v>
      </c>
    </row>
    <row r="21" spans="1:4" x14ac:dyDescent="0.25">
      <c r="A21">
        <v>15</v>
      </c>
      <c r="B21">
        <f t="shared" si="0"/>
        <v>0</v>
      </c>
      <c r="C21">
        <f t="shared" si="1"/>
        <v>0</v>
      </c>
      <c r="D21">
        <f t="shared" si="2"/>
        <v>0</v>
      </c>
    </row>
    <row r="22" spans="1:4" x14ac:dyDescent="0.25">
      <c r="A22">
        <v>16</v>
      </c>
      <c r="B22">
        <f t="shared" si="0"/>
        <v>0</v>
      </c>
      <c r="C22">
        <f t="shared" si="1"/>
        <v>0</v>
      </c>
      <c r="D22">
        <f t="shared" si="2"/>
        <v>0</v>
      </c>
    </row>
    <row r="23" spans="1:4" x14ac:dyDescent="0.25">
      <c r="A23">
        <v>17</v>
      </c>
      <c r="B23">
        <f t="shared" si="0"/>
        <v>0</v>
      </c>
      <c r="C23">
        <f t="shared" si="1"/>
        <v>0</v>
      </c>
      <c r="D23">
        <f t="shared" si="2"/>
        <v>0</v>
      </c>
    </row>
    <row r="24" spans="1:4" x14ac:dyDescent="0.25">
      <c r="A24">
        <v>18</v>
      </c>
      <c r="B24">
        <f t="shared" si="0"/>
        <v>0</v>
      </c>
      <c r="C24">
        <f t="shared" si="1"/>
        <v>0</v>
      </c>
      <c r="D24">
        <f t="shared" si="2"/>
        <v>0</v>
      </c>
    </row>
    <row r="25" spans="1:4" x14ac:dyDescent="0.25">
      <c r="A25">
        <v>19</v>
      </c>
      <c r="B25">
        <f t="shared" si="0"/>
        <v>0</v>
      </c>
      <c r="C25">
        <f t="shared" si="1"/>
        <v>0</v>
      </c>
      <c r="D25">
        <f t="shared" si="2"/>
        <v>0</v>
      </c>
    </row>
    <row r="26" spans="1:4" x14ac:dyDescent="0.25">
      <c r="A26">
        <v>20</v>
      </c>
      <c r="B26">
        <f t="shared" si="0"/>
        <v>0</v>
      </c>
      <c r="C26">
        <f t="shared" si="1"/>
        <v>0</v>
      </c>
      <c r="D26">
        <f t="shared" si="2"/>
        <v>0</v>
      </c>
    </row>
    <row r="27" spans="1:4" x14ac:dyDescent="0.25">
      <c r="A27">
        <v>21</v>
      </c>
      <c r="B27">
        <f t="shared" si="0"/>
        <v>0</v>
      </c>
      <c r="C27">
        <f t="shared" si="1"/>
        <v>0</v>
      </c>
      <c r="D27">
        <f t="shared" si="2"/>
        <v>0</v>
      </c>
    </row>
    <row r="28" spans="1:4" x14ac:dyDescent="0.25">
      <c r="A28">
        <v>22</v>
      </c>
      <c r="B28">
        <f t="shared" si="0"/>
        <v>0</v>
      </c>
      <c r="C28">
        <f t="shared" si="1"/>
        <v>0</v>
      </c>
      <c r="D28">
        <f t="shared" si="2"/>
        <v>0</v>
      </c>
    </row>
    <row r="29" spans="1:4" x14ac:dyDescent="0.25">
      <c r="A29">
        <v>23</v>
      </c>
      <c r="B29">
        <f t="shared" si="0"/>
        <v>0</v>
      </c>
      <c r="C29">
        <f t="shared" si="1"/>
        <v>0</v>
      </c>
      <c r="D29">
        <f t="shared" si="2"/>
        <v>0</v>
      </c>
    </row>
    <row r="30" spans="1:4" x14ac:dyDescent="0.25">
      <c r="A30">
        <v>24</v>
      </c>
      <c r="B30">
        <f t="shared" si="0"/>
        <v>0</v>
      </c>
      <c r="C30">
        <f t="shared" si="1"/>
        <v>0</v>
      </c>
      <c r="D30">
        <f t="shared" si="2"/>
        <v>0</v>
      </c>
    </row>
    <row r="31" spans="1:4" x14ac:dyDescent="0.25">
      <c r="A31">
        <v>25</v>
      </c>
      <c r="B31">
        <f t="shared" si="0"/>
        <v>0</v>
      </c>
      <c r="C31">
        <f t="shared" si="1"/>
        <v>0</v>
      </c>
      <c r="D31">
        <f t="shared" si="2"/>
        <v>0</v>
      </c>
    </row>
    <row r="32" spans="1:4" x14ac:dyDescent="0.25">
      <c r="A32">
        <v>26</v>
      </c>
      <c r="B32">
        <f t="shared" si="0"/>
        <v>0</v>
      </c>
      <c r="C32">
        <f t="shared" si="1"/>
        <v>0</v>
      </c>
      <c r="D32">
        <f t="shared" si="2"/>
        <v>0</v>
      </c>
    </row>
    <row r="33" spans="1:4" x14ac:dyDescent="0.25">
      <c r="A33">
        <v>27</v>
      </c>
      <c r="B33">
        <f t="shared" si="0"/>
        <v>0</v>
      </c>
      <c r="C33">
        <f t="shared" si="1"/>
        <v>0</v>
      </c>
      <c r="D33">
        <f t="shared" si="2"/>
        <v>0</v>
      </c>
    </row>
    <row r="34" spans="1:4" x14ac:dyDescent="0.25">
      <c r="A34">
        <v>28</v>
      </c>
      <c r="B34">
        <f t="shared" si="0"/>
        <v>0</v>
      </c>
      <c r="C34">
        <f t="shared" si="1"/>
        <v>0</v>
      </c>
      <c r="D34">
        <f t="shared" si="2"/>
        <v>0</v>
      </c>
    </row>
    <row r="35" spans="1:4" x14ac:dyDescent="0.25">
      <c r="A35">
        <v>29</v>
      </c>
      <c r="B35">
        <f t="shared" si="0"/>
        <v>0</v>
      </c>
      <c r="C35">
        <f t="shared" si="1"/>
        <v>0</v>
      </c>
      <c r="D35">
        <f t="shared" si="2"/>
        <v>0</v>
      </c>
    </row>
    <row r="36" spans="1:4" x14ac:dyDescent="0.25">
      <c r="A36">
        <v>30</v>
      </c>
      <c r="B36">
        <f t="shared" si="0"/>
        <v>0</v>
      </c>
      <c r="C36">
        <f t="shared" si="1"/>
        <v>0</v>
      </c>
      <c r="D36">
        <f t="shared" si="2"/>
        <v>0</v>
      </c>
    </row>
    <row r="37" spans="1:4" x14ac:dyDescent="0.25">
      <c r="A37">
        <v>31</v>
      </c>
      <c r="B37">
        <f t="shared" si="0"/>
        <v>0</v>
      </c>
      <c r="C37">
        <f t="shared" si="1"/>
        <v>0</v>
      </c>
      <c r="D37">
        <f t="shared" si="2"/>
        <v>0</v>
      </c>
    </row>
    <row r="38" spans="1:4" x14ac:dyDescent="0.25">
      <c r="A38">
        <v>32</v>
      </c>
      <c r="B38">
        <f t="shared" si="0"/>
        <v>0</v>
      </c>
      <c r="C38">
        <f t="shared" si="1"/>
        <v>0</v>
      </c>
      <c r="D38">
        <f t="shared" si="2"/>
        <v>0</v>
      </c>
    </row>
    <row r="39" spans="1:4" x14ac:dyDescent="0.25">
      <c r="A39">
        <v>33</v>
      </c>
      <c r="B39">
        <f t="shared" si="0"/>
        <v>0</v>
      </c>
      <c r="C39">
        <f t="shared" si="1"/>
        <v>0</v>
      </c>
      <c r="D39">
        <f t="shared" si="2"/>
        <v>0</v>
      </c>
    </row>
    <row r="40" spans="1:4" x14ac:dyDescent="0.25">
      <c r="A40">
        <v>34</v>
      </c>
      <c r="B40">
        <f t="shared" si="0"/>
        <v>0</v>
      </c>
      <c r="C40">
        <f t="shared" si="1"/>
        <v>0</v>
      </c>
      <c r="D40">
        <f t="shared" si="2"/>
        <v>0</v>
      </c>
    </row>
    <row r="41" spans="1:4" x14ac:dyDescent="0.25">
      <c r="A41">
        <v>35</v>
      </c>
      <c r="B41">
        <f t="shared" si="0"/>
        <v>0</v>
      </c>
      <c r="C41">
        <f t="shared" si="1"/>
        <v>0</v>
      </c>
      <c r="D41">
        <f t="shared" si="2"/>
        <v>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8EF26-A1EA-445C-964A-65EC0CCFFECB}">
  <dimension ref="A1:H41"/>
  <sheetViews>
    <sheetView zoomScale="110" zoomScaleNormal="110" workbookViewId="0">
      <selection activeCell="G29" sqref="G29"/>
    </sheetView>
  </sheetViews>
  <sheetFormatPr defaultColWidth="11.453125" defaultRowHeight="12.5" x14ac:dyDescent="0.25"/>
  <cols>
    <col min="1" max="1" width="19.54296875" customWidth="1"/>
    <col min="2" max="2" width="16.453125" customWidth="1"/>
    <col min="3" max="3" width="17.7265625" customWidth="1"/>
    <col min="4" max="4" width="18.1796875" customWidth="1"/>
    <col min="5" max="5" width="17.453125" customWidth="1"/>
    <col min="6" max="253" width="9.1796875" customWidth="1"/>
  </cols>
  <sheetData>
    <row r="1" spans="1:5" ht="18" x14ac:dyDescent="0.4">
      <c r="A1" s="136" t="s">
        <v>401</v>
      </c>
      <c r="B1" s="136"/>
      <c r="C1" s="137"/>
      <c r="D1" s="137"/>
      <c r="E1" s="138"/>
    </row>
    <row r="2" spans="1:5" ht="18.5" thickBot="1" x14ac:dyDescent="0.45">
      <c r="A2" s="15"/>
      <c r="B2" s="15"/>
    </row>
    <row r="3" spans="1:5" ht="13.5" thickBot="1" x14ac:dyDescent="0.35">
      <c r="A3" s="172" t="s">
        <v>402</v>
      </c>
      <c r="B3" s="173"/>
      <c r="C3" s="171" t="str">
        <f>IF('Parametri generali'!A40=0,"",'Parametri generali'!A40)</f>
        <v/>
      </c>
      <c r="D3" s="130" t="str">
        <f>IF('Parametri generali'!A41=0,"",'Parametri generali'!A41)</f>
        <v/>
      </c>
      <c r="E3" s="130" t="str">
        <f>IF('Parametri generali'!A42=0,"",'Parametri generali'!A42)</f>
        <v/>
      </c>
    </row>
    <row r="4" spans="1:5" x14ac:dyDescent="0.25">
      <c r="A4" s="1323" t="s">
        <v>403</v>
      </c>
      <c r="B4" s="1324"/>
      <c r="C4" s="157" t="str">
        <f>IF(C3="","",'Parametri generali'!B45)</f>
        <v/>
      </c>
      <c r="D4" s="18" t="str">
        <f>IF('Parametri generali'!B46=0,"",'Parametri generali'!B46)</f>
        <v/>
      </c>
      <c r="E4" s="18" t="str">
        <f>IF('Parametri generali'!B47=0,"",'Parametri generali'!B47)</f>
        <v/>
      </c>
    </row>
    <row r="5" spans="1:5" x14ac:dyDescent="0.25">
      <c r="A5" s="1325" t="s">
        <v>404</v>
      </c>
      <c r="B5" s="1326"/>
      <c r="C5" s="157">
        <f>'Parametri generali'!D45</f>
        <v>0</v>
      </c>
      <c r="D5" s="18">
        <f>IF('Parametri generali'!D46=0,0,'Parametri generali'!D46)</f>
        <v>0</v>
      </c>
      <c r="E5" s="18">
        <f>IF('Parametri generali'!B47=0,0,'Parametri generali'!D47)</f>
        <v>0</v>
      </c>
    </row>
    <row r="6" spans="1:5" ht="27.75" customHeight="1" x14ac:dyDescent="0.3">
      <c r="A6" s="1554" t="s">
        <v>405</v>
      </c>
      <c r="B6" s="1555"/>
      <c r="C6" s="167" t="str">
        <f>IF(C3="","",ANALYSIS!B149)</f>
        <v/>
      </c>
      <c r="D6" s="168" t="str">
        <f>IF('Parametri generali'!B46=0,"",ANALYSIS!B150)</f>
        <v/>
      </c>
      <c r="E6" s="168" t="str">
        <f>IF('Parametri generali'!B47=0,"",ANALYSIS!B151)</f>
        <v/>
      </c>
    </row>
    <row r="7" spans="1:5" s="42" customFormat="1" ht="13" x14ac:dyDescent="0.3">
      <c r="A7" s="1554" t="s">
        <v>406</v>
      </c>
      <c r="B7" s="1555"/>
      <c r="C7" s="167" t="str">
        <f>IF(C3="","",ANALYSIS!C149)</f>
        <v/>
      </c>
      <c r="D7" s="168" t="str">
        <f>IF('Parametri generali'!B46=0,"",ANALYSIS!C150)</f>
        <v/>
      </c>
      <c r="E7" s="168" t="str">
        <f>IF('Parametri generali'!B47=0,"",ANALYSIS!C151)</f>
        <v/>
      </c>
    </row>
    <row r="8" spans="1:5" x14ac:dyDescent="0.25">
      <c r="A8" s="1325" t="s">
        <v>407</v>
      </c>
      <c r="B8" s="1326"/>
      <c r="C8" s="157" t="str">
        <f>IF(C3="","",ANALYSIS!D149)</f>
        <v/>
      </c>
      <c r="D8" s="18" t="str">
        <f>IF('Parametri generali'!B46=0,"",ANALYSIS!D150)</f>
        <v/>
      </c>
      <c r="E8" s="18" t="str">
        <f>IF('Parametri generali'!B47=0,"",ANALYSIS!D151)</f>
        <v/>
      </c>
    </row>
    <row r="9" spans="1:5" x14ac:dyDescent="0.25">
      <c r="A9" s="163" t="s">
        <v>408</v>
      </c>
      <c r="B9" s="164"/>
      <c r="C9" s="159">
        <f>ANALYSIS!F149</f>
        <v>0</v>
      </c>
      <c r="D9" s="135">
        <f>ANALYSIS!F150</f>
        <v>0</v>
      </c>
      <c r="E9" s="135">
        <f>ANALYSIS!F151</f>
        <v>0</v>
      </c>
    </row>
    <row r="10" spans="1:5" x14ac:dyDescent="0.25">
      <c r="A10" s="111" t="s">
        <v>409</v>
      </c>
      <c r="B10" s="112"/>
      <c r="C10" s="180">
        <f>ANALYSIS!H149</f>
        <v>0</v>
      </c>
      <c r="D10" s="135">
        <f>ANALYSIS!H150</f>
        <v>0</v>
      </c>
      <c r="E10" s="135">
        <f>ANALYSIS!H151</f>
        <v>0</v>
      </c>
    </row>
    <row r="11" spans="1:5" ht="13" x14ac:dyDescent="0.3">
      <c r="A11" s="187" t="s">
        <v>410</v>
      </c>
      <c r="B11" s="186"/>
      <c r="C11" s="189">
        <f>IF(C3="",0,VLOOKUP(C5,'Calcolo risparmio figli negli a'!A6:B41,2,FALSE))</f>
        <v>0</v>
      </c>
      <c r="D11" s="189">
        <f>VLOOKUP(D5,'Calcolo risparmio figli negli a'!A6:D41,3,FALSE)</f>
        <v>0</v>
      </c>
      <c r="E11" s="189">
        <f>IF(E3="",0,VLOOKUP(E5,'Calcolo risparmio figli negli a'!A6:D41,4,FALSE))</f>
        <v>0</v>
      </c>
    </row>
    <row r="12" spans="1:5" ht="13" x14ac:dyDescent="0.3">
      <c r="A12" s="187" t="s">
        <v>411</v>
      </c>
      <c r="B12" s="186"/>
      <c r="C12" s="188">
        <v>0.06</v>
      </c>
      <c r="D12" s="188">
        <v>0.06</v>
      </c>
      <c r="E12" s="188">
        <v>0.06</v>
      </c>
    </row>
    <row r="13" spans="1:5" x14ac:dyDescent="0.25">
      <c r="A13" s="165"/>
      <c r="B13" s="166"/>
      <c r="C13" s="158"/>
      <c r="D13" s="134"/>
      <c r="E13" s="134"/>
    </row>
    <row r="14" spans="1:5" ht="13.5" thickBot="1" x14ac:dyDescent="0.35">
      <c r="A14" s="161" t="s">
        <v>412</v>
      </c>
      <c r="B14" s="162"/>
      <c r="C14" s="160">
        <f>C9-C10</f>
        <v>0</v>
      </c>
      <c r="D14" s="25">
        <f>D9-D10</f>
        <v>0</v>
      </c>
      <c r="E14" s="25">
        <f>E9-E10</f>
        <v>0</v>
      </c>
    </row>
    <row r="15" spans="1:5" ht="13.5" thickBot="1" x14ac:dyDescent="0.35">
      <c r="A15" s="176"/>
      <c r="B15" s="177"/>
      <c r="C15" s="27"/>
      <c r="D15" s="28"/>
    </row>
    <row r="16" spans="1:5" ht="18.75" customHeight="1" thickBot="1" x14ac:dyDescent="0.35">
      <c r="A16" s="174" t="s">
        <v>413</v>
      </c>
      <c r="B16" s="175"/>
      <c r="C16" s="150"/>
      <c r="D16" s="151"/>
      <c r="E16" s="152"/>
    </row>
    <row r="17" spans="1:5" ht="18.75" customHeight="1" thickBot="1" x14ac:dyDescent="0.45">
      <c r="A17" s="218" t="s">
        <v>414</v>
      </c>
      <c r="B17" s="153"/>
      <c r="C17" s="1556">
        <f>C14+D14+E14</f>
        <v>0</v>
      </c>
      <c r="D17" s="1557"/>
      <c r="E17" s="1558"/>
    </row>
    <row r="18" spans="1:5" x14ac:dyDescent="0.25">
      <c r="A18" s="26"/>
      <c r="B18" s="26"/>
      <c r="C18" s="41"/>
    </row>
    <row r="19" spans="1:5" x14ac:dyDescent="0.25">
      <c r="A19" s="26"/>
      <c r="B19" s="26"/>
      <c r="C19" s="41"/>
    </row>
    <row r="20" spans="1:5" ht="13" x14ac:dyDescent="0.3">
      <c r="A20" s="42"/>
      <c r="B20" s="42"/>
      <c r="C20" s="43"/>
      <c r="D20" s="42"/>
    </row>
    <row r="33" spans="1:8" ht="48" customHeight="1" x14ac:dyDescent="0.25"/>
    <row r="34" spans="1:8" ht="31.5" customHeight="1" thickBot="1" x14ac:dyDescent="0.3"/>
    <row r="35" spans="1:8" ht="30" customHeight="1" thickBot="1" x14ac:dyDescent="0.3">
      <c r="A35" s="1551" t="s">
        <v>415</v>
      </c>
      <c r="B35" s="1552"/>
      <c r="C35" s="1552"/>
      <c r="D35" s="1552"/>
      <c r="E35" s="1553"/>
    </row>
    <row r="36" spans="1:8" ht="30" customHeight="1" x14ac:dyDescent="0.25">
      <c r="A36" s="179" t="s">
        <v>416</v>
      </c>
      <c r="B36" s="179" t="s">
        <v>420</v>
      </c>
      <c r="C36" s="179" t="s">
        <v>421</v>
      </c>
      <c r="D36" s="179" t="s">
        <v>422</v>
      </c>
      <c r="E36" s="179" t="s">
        <v>423</v>
      </c>
      <c r="F36" s="154"/>
      <c r="G36" s="154"/>
      <c r="H36" s="154"/>
    </row>
    <row r="37" spans="1:8" ht="30" customHeight="1" x14ac:dyDescent="0.25">
      <c r="A37" s="178" t="s">
        <v>417</v>
      </c>
      <c r="B37" s="169" t="s">
        <v>345</v>
      </c>
      <c r="C37" s="169">
        <v>0</v>
      </c>
      <c r="D37" s="170">
        <v>1500</v>
      </c>
      <c r="E37" s="170">
        <v>12000</v>
      </c>
      <c r="F37" s="155"/>
      <c r="G37" s="156"/>
      <c r="H37" s="156"/>
    </row>
    <row r="38" spans="1:8" ht="30" customHeight="1" x14ac:dyDescent="0.25">
      <c r="A38" s="178" t="s">
        <v>417</v>
      </c>
      <c r="B38" s="169" t="s">
        <v>346</v>
      </c>
      <c r="C38" s="170">
        <v>30000</v>
      </c>
      <c r="D38" s="170">
        <v>3000</v>
      </c>
      <c r="E38" s="170">
        <v>12000</v>
      </c>
      <c r="F38" s="155"/>
      <c r="G38" s="156"/>
      <c r="H38" s="156"/>
    </row>
    <row r="39" spans="1:8" ht="30" customHeight="1" x14ac:dyDescent="0.25">
      <c r="A39" s="178" t="s">
        <v>418</v>
      </c>
      <c r="B39" s="169" t="s">
        <v>345</v>
      </c>
      <c r="C39" s="170">
        <v>2000</v>
      </c>
      <c r="D39" s="170">
        <v>18000</v>
      </c>
      <c r="E39" s="170">
        <v>15000</v>
      </c>
      <c r="F39" s="155"/>
      <c r="G39" s="156"/>
      <c r="H39" s="156"/>
    </row>
    <row r="40" spans="1:8" ht="30" customHeight="1" x14ac:dyDescent="0.25">
      <c r="A40" s="178" t="s">
        <v>418</v>
      </c>
      <c r="B40" s="169" t="s">
        <v>346</v>
      </c>
      <c r="C40" s="170">
        <v>30000</v>
      </c>
      <c r="D40" s="170">
        <v>20000</v>
      </c>
      <c r="E40" s="170">
        <v>15000</v>
      </c>
      <c r="F40" s="155"/>
      <c r="G40" s="156"/>
      <c r="H40" s="156"/>
    </row>
    <row r="41" spans="1:8" ht="30" customHeight="1" x14ac:dyDescent="0.25">
      <c r="A41" s="178" t="s">
        <v>419</v>
      </c>
      <c r="B41" s="169" t="s">
        <v>348</v>
      </c>
      <c r="C41" s="170">
        <v>2500</v>
      </c>
      <c r="D41" s="170">
        <v>15000</v>
      </c>
      <c r="E41" s="170">
        <v>15000</v>
      </c>
      <c r="F41" s="155"/>
      <c r="G41" s="156"/>
      <c r="H41" s="156"/>
    </row>
  </sheetData>
  <sheetProtection sheet="1" objects="1" scenarios="1"/>
  <mergeCells count="7">
    <mergeCell ref="A35:E35"/>
    <mergeCell ref="A4:B4"/>
    <mergeCell ref="A5:B5"/>
    <mergeCell ref="A6:B6"/>
    <mergeCell ref="A7:B7"/>
    <mergeCell ref="A8:B8"/>
    <mergeCell ref="C17:E17"/>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52B5-6A34-4481-8093-5FDE160C3055}">
  <dimension ref="A1:C55"/>
  <sheetViews>
    <sheetView zoomScale="110" zoomScaleNormal="110" workbookViewId="0">
      <selection activeCell="F24" sqref="F24"/>
    </sheetView>
  </sheetViews>
  <sheetFormatPr defaultColWidth="11.453125" defaultRowHeight="12.5" x14ac:dyDescent="0.25"/>
  <cols>
    <col min="1" max="1" width="42.7265625" customWidth="1"/>
    <col min="2" max="2" width="21.7265625" customWidth="1"/>
    <col min="3" max="3" width="22.1796875" customWidth="1"/>
    <col min="4" max="252" width="9.1796875" customWidth="1"/>
  </cols>
  <sheetData>
    <row r="1" spans="1:3" ht="18" x14ac:dyDescent="0.4">
      <c r="A1" s="13" t="s">
        <v>424</v>
      </c>
      <c r="B1" s="14"/>
      <c r="C1" s="14"/>
    </row>
    <row r="2" spans="1:3" ht="18.5" thickBot="1" x14ac:dyDescent="0.45">
      <c r="A2" s="15"/>
    </row>
    <row r="3" spans="1:3" ht="13.5" thickBot="1" x14ac:dyDescent="0.35">
      <c r="A3" s="16" t="s">
        <v>425</v>
      </c>
      <c r="B3" s="130">
        <f>'PRIV-VALID.'!B10</f>
        <v>0</v>
      </c>
      <c r="C3" s="130" t="str">
        <f>IF('PRIV-VALID.'!B65=0,"",'PRIV-VALID.'!B65)</f>
        <v/>
      </c>
    </row>
    <row r="4" spans="1:3" x14ac:dyDescent="0.25">
      <c r="A4" s="17" t="s">
        <v>403</v>
      </c>
      <c r="B4" s="131">
        <f ca="1">'PRIV-VALID.'!B11</f>
        <v>125</v>
      </c>
      <c r="C4" s="18" t="str">
        <f>IF('PRIV-VALID.'!B66=0,"",'PRIV-VALID.'!B66)</f>
        <v/>
      </c>
    </row>
    <row r="5" spans="1:3" x14ac:dyDescent="0.25">
      <c r="A5" s="17" t="s">
        <v>426</v>
      </c>
      <c r="B5" s="131">
        <f>'PRIV-VALID.'!B27</f>
        <v>44</v>
      </c>
      <c r="C5" s="18" t="str">
        <f>IF('PRIV-VALID.'!B82=0,"",'PRIV-VALID.'!B82)</f>
        <v/>
      </c>
    </row>
    <row r="6" spans="1:3" x14ac:dyDescent="0.25">
      <c r="A6" s="17" t="s">
        <v>427</v>
      </c>
      <c r="B6" s="131">
        <f ca="1">65-B4</f>
        <v>-60</v>
      </c>
      <c r="C6" s="131" t="str">
        <f>IF('PRIV-VALID.'!B66=0,"",65-C4)</f>
        <v/>
      </c>
    </row>
    <row r="7" spans="1:3" ht="13" x14ac:dyDescent="0.3">
      <c r="A7" s="19"/>
      <c r="B7" s="20"/>
      <c r="C7" s="132"/>
    </row>
    <row r="8" spans="1:3" x14ac:dyDescent="0.25">
      <c r="A8" s="18" t="s">
        <v>428</v>
      </c>
      <c r="B8" s="21">
        <f>'PRIV-VALID.'!B15</f>
        <v>0</v>
      </c>
      <c r="C8" s="133" t="str">
        <f>IF('PRIV-VALID.'!B66=0,"",'PRIV-VALID.'!B70)</f>
        <v/>
      </c>
    </row>
    <row r="9" spans="1:3" x14ac:dyDescent="0.25">
      <c r="A9" s="18" t="s">
        <v>429</v>
      </c>
      <c r="B9" s="21">
        <f>'PRIV-VALID.'!B26*12</f>
        <v>15120</v>
      </c>
      <c r="C9" s="133" t="str">
        <f>IF('PRIV-VALID.'!B66=0,"",'PRIV-VALID.'!B81*12)</f>
        <v/>
      </c>
    </row>
    <row r="10" spans="1:3" x14ac:dyDescent="0.25">
      <c r="A10" s="17" t="s">
        <v>430</v>
      </c>
      <c r="B10" s="21">
        <f>'PRIV-VALID.'!B29</f>
        <v>0</v>
      </c>
      <c r="C10" s="133">
        <f>IF('PRIV-VALID.'!B65="","",IF('PRIV-VALID.'!B84=0,0,'PRIV-VALID.'!B84))</f>
        <v>0</v>
      </c>
    </row>
    <row r="11" spans="1:3" ht="13" x14ac:dyDescent="0.3">
      <c r="A11" s="17" t="s">
        <v>431</v>
      </c>
      <c r="B11" s="22">
        <f ca="1">B9+B10*'calcoli Cliente'!B55</f>
        <v>15120</v>
      </c>
      <c r="C11" s="22" t="str">
        <f>IF('PRIV-VALID.'!B66=0,"",C9+C10*'calcoli Cliente'!B55)</f>
        <v/>
      </c>
    </row>
    <row r="12" spans="1:3" x14ac:dyDescent="0.25">
      <c r="A12" s="19"/>
      <c r="B12" s="23"/>
      <c r="C12" s="134"/>
    </row>
    <row r="13" spans="1:3" ht="13.5" thickBot="1" x14ac:dyDescent="0.35">
      <c r="A13" s="24" t="s">
        <v>432</v>
      </c>
      <c r="B13" s="25">
        <f ca="1">IF(B8-B11&gt;0,B8-B11*'calcoli Cliente'!B55,0)</f>
        <v>0</v>
      </c>
      <c r="C13" s="25">
        <f>IF('PRIV-VALID.'!B66=0,0,IF(C8-C11&lt;0,0,C8-C11*'calcoli Cliente'!B55))</f>
        <v>0</v>
      </c>
    </row>
    <row r="14" spans="1:3" ht="13" x14ac:dyDescent="0.3">
      <c r="A14" s="26"/>
      <c r="B14" s="27"/>
      <c r="C14" s="28"/>
    </row>
    <row r="15" spans="1:3" ht="13.5" thickBot="1" x14ac:dyDescent="0.35">
      <c r="A15" s="26"/>
      <c r="B15" s="27"/>
      <c r="C15" s="28"/>
    </row>
    <row r="16" spans="1:3" ht="22.5" customHeight="1" thickBot="1" x14ac:dyDescent="0.4">
      <c r="A16" s="221" t="s">
        <v>433</v>
      </c>
      <c r="B16" s="219">
        <f ca="1">(B13+C13)/12</f>
        <v>0</v>
      </c>
      <c r="C16" s="220"/>
    </row>
    <row r="17" spans="1:3" ht="11.25" hidden="1" customHeight="1" thickBot="1" x14ac:dyDescent="0.3">
      <c r="A17" s="32" t="s">
        <v>81</v>
      </c>
      <c r="B17" s="33"/>
      <c r="C17" s="34"/>
    </row>
    <row r="19" spans="1:3" ht="13" x14ac:dyDescent="0.3">
      <c r="A19" s="35" t="s">
        <v>434</v>
      </c>
      <c r="B19" s="36"/>
      <c r="C19" s="14"/>
    </row>
    <row r="20" spans="1:3" x14ac:dyDescent="0.25">
      <c r="A20" s="26"/>
      <c r="B20" s="27"/>
    </row>
    <row r="21" spans="1:3" x14ac:dyDescent="0.25">
      <c r="A21" t="s">
        <v>432</v>
      </c>
      <c r="B21" s="37">
        <f ca="1">B13</f>
        <v>0</v>
      </c>
      <c r="C21" s="38">
        <f>C13</f>
        <v>0</v>
      </c>
    </row>
    <row r="22" spans="1:3" ht="13" thickBot="1" x14ac:dyDescent="0.3">
      <c r="A22" t="s">
        <v>435</v>
      </c>
      <c r="B22" s="39">
        <f>'PRIV-VALID.'!B17</f>
        <v>0</v>
      </c>
      <c r="C22" s="40"/>
    </row>
    <row r="23" spans="1:3" ht="13" thickBot="1" x14ac:dyDescent="0.3">
      <c r="A23" s="26"/>
      <c r="B23" s="41"/>
    </row>
    <row r="24" spans="1:3" ht="18.75" customHeight="1" thickBot="1" x14ac:dyDescent="0.45">
      <c r="A24" s="15" t="s">
        <v>436</v>
      </c>
      <c r="B24" s="1322">
        <f ca="1">(B21+C21)/6.2*100+B22</f>
        <v>0</v>
      </c>
      <c r="C24" s="1322"/>
    </row>
    <row r="25" spans="1:3" x14ac:dyDescent="0.25">
      <c r="A25" s="26"/>
      <c r="B25" s="41"/>
    </row>
    <row r="26" spans="1:3" x14ac:dyDescent="0.25">
      <c r="A26" s="26"/>
      <c r="B26" s="41"/>
    </row>
    <row r="27" spans="1:3" x14ac:dyDescent="0.25">
      <c r="A27" s="1559" t="e" vm="4">
        <v>#VALUE!</v>
      </c>
      <c r="B27" s="1559"/>
      <c r="C27" s="1559"/>
    </row>
    <row r="28" spans="1:3" x14ac:dyDescent="0.25">
      <c r="A28" s="1559"/>
      <c r="B28" s="1559"/>
      <c r="C28" s="1559"/>
    </row>
    <row r="29" spans="1:3" x14ac:dyDescent="0.25">
      <c r="A29" s="1559"/>
      <c r="B29" s="1559"/>
      <c r="C29" s="1559"/>
    </row>
    <row r="30" spans="1:3" x14ac:dyDescent="0.25">
      <c r="A30" s="1559"/>
      <c r="B30" s="1559"/>
      <c r="C30" s="1559"/>
    </row>
    <row r="31" spans="1:3" x14ac:dyDescent="0.25">
      <c r="A31" s="1559"/>
      <c r="B31" s="1559"/>
      <c r="C31" s="1559"/>
    </row>
    <row r="32" spans="1:3" x14ac:dyDescent="0.25">
      <c r="A32" s="1559"/>
      <c r="B32" s="1559"/>
      <c r="C32" s="1559"/>
    </row>
    <row r="33" spans="1:3" x14ac:dyDescent="0.25">
      <c r="A33" s="1559"/>
      <c r="B33" s="1559"/>
      <c r="C33" s="1559"/>
    </row>
    <row r="34" spans="1:3" x14ac:dyDescent="0.25">
      <c r="A34" s="1559"/>
      <c r="B34" s="1559"/>
      <c r="C34" s="1559"/>
    </row>
    <row r="35" spans="1:3" x14ac:dyDescent="0.25">
      <c r="A35" s="1559"/>
      <c r="B35" s="1559"/>
      <c r="C35" s="1559"/>
    </row>
    <row r="36" spans="1:3" x14ac:dyDescent="0.25">
      <c r="A36" s="1559"/>
      <c r="B36" s="1559"/>
      <c r="C36" s="1559"/>
    </row>
    <row r="37" spans="1:3" x14ac:dyDescent="0.25">
      <c r="A37" s="1559"/>
      <c r="B37" s="1559"/>
      <c r="C37" s="1559"/>
    </row>
    <row r="38" spans="1:3" x14ac:dyDescent="0.25">
      <c r="A38" s="1559"/>
      <c r="B38" s="1559"/>
      <c r="C38" s="1559"/>
    </row>
    <row r="39" spans="1:3" x14ac:dyDescent="0.25">
      <c r="A39" s="1559"/>
      <c r="B39" s="1559"/>
      <c r="C39" s="1559"/>
    </row>
    <row r="40" spans="1:3" x14ac:dyDescent="0.25">
      <c r="A40" s="1559"/>
      <c r="B40" s="1559"/>
      <c r="C40" s="1559"/>
    </row>
    <row r="41" spans="1:3" x14ac:dyDescent="0.25">
      <c r="A41" s="1559"/>
      <c r="B41" s="1559"/>
      <c r="C41" s="1559"/>
    </row>
    <row r="42" spans="1:3" x14ac:dyDescent="0.25">
      <c r="A42" s="1559"/>
      <c r="B42" s="1559"/>
      <c r="C42" s="1559"/>
    </row>
    <row r="43" spans="1:3" x14ac:dyDescent="0.25">
      <c r="A43" s="1559"/>
      <c r="B43" s="1559"/>
      <c r="C43" s="1559"/>
    </row>
    <row r="44" spans="1:3" x14ac:dyDescent="0.25">
      <c r="A44" s="1559"/>
      <c r="B44" s="1559"/>
      <c r="C44" s="1559"/>
    </row>
    <row r="45" spans="1:3" x14ac:dyDescent="0.25">
      <c r="A45" s="1559"/>
      <c r="B45" s="1559"/>
      <c r="C45" s="1559"/>
    </row>
    <row r="46" spans="1:3" x14ac:dyDescent="0.25">
      <c r="A46" s="1559"/>
      <c r="B46" s="1559"/>
      <c r="C46" s="1559"/>
    </row>
    <row r="47" spans="1:3" x14ac:dyDescent="0.25">
      <c r="A47" s="1559"/>
      <c r="B47" s="1559"/>
      <c r="C47" s="1559"/>
    </row>
    <row r="48" spans="1:3" x14ac:dyDescent="0.25">
      <c r="A48" s="1559"/>
      <c r="B48" s="1559"/>
      <c r="C48" s="1559"/>
    </row>
    <row r="49" spans="1:3" x14ac:dyDescent="0.25">
      <c r="A49" s="1559"/>
      <c r="B49" s="1559"/>
      <c r="C49" s="1559"/>
    </row>
    <row r="50" spans="1:3" x14ac:dyDescent="0.25">
      <c r="A50" s="1559"/>
      <c r="B50" s="1559"/>
      <c r="C50" s="1559"/>
    </row>
    <row r="51" spans="1:3" x14ac:dyDescent="0.25">
      <c r="A51" s="1559"/>
      <c r="B51" s="1559"/>
      <c r="C51" s="1559"/>
    </row>
    <row r="52" spans="1:3" x14ac:dyDescent="0.25">
      <c r="A52" s="1559"/>
      <c r="B52" s="1559"/>
      <c r="C52" s="1559"/>
    </row>
    <row r="53" spans="1:3" x14ac:dyDescent="0.25">
      <c r="A53" s="1559"/>
      <c r="B53" s="1559"/>
      <c r="C53" s="1559"/>
    </row>
    <row r="54" spans="1:3" x14ac:dyDescent="0.25">
      <c r="A54" s="1559"/>
      <c r="B54" s="1559"/>
      <c r="C54" s="1559"/>
    </row>
    <row r="55" spans="1:3" x14ac:dyDescent="0.25">
      <c r="A55" s="1559"/>
      <c r="B55" s="1559"/>
      <c r="C55" s="1559"/>
    </row>
  </sheetData>
  <sheetProtection sheet="1" objects="1" scenarios="1"/>
  <mergeCells count="2">
    <mergeCell ref="B24:C24"/>
    <mergeCell ref="A27:C55"/>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A3480-7CFB-4600-A3D2-25B2A68425C8}">
  <dimension ref="A1:C51"/>
  <sheetViews>
    <sheetView zoomScale="110" zoomScaleNormal="110" workbookViewId="0">
      <selection activeCell="D7" sqref="D7"/>
    </sheetView>
  </sheetViews>
  <sheetFormatPr defaultColWidth="12.1796875" defaultRowHeight="15.5" x14ac:dyDescent="0.35"/>
  <cols>
    <col min="1" max="1" width="28.453125" style="1" customWidth="1"/>
    <col min="2" max="2" width="55.81640625" style="1" customWidth="1"/>
    <col min="3" max="16384" width="12.1796875" style="1"/>
  </cols>
  <sheetData>
    <row r="1" spans="1:3" x14ac:dyDescent="0.35">
      <c r="A1" s="255" t="s">
        <v>454</v>
      </c>
      <c r="B1" s="49" t="e">
        <f>'calcoli Cliente'!#REF!</f>
        <v>#REF!</v>
      </c>
    </row>
    <row r="2" spans="1:3" x14ac:dyDescent="0.35">
      <c r="A2" s="255" t="s">
        <v>455</v>
      </c>
      <c r="B2" s="257" t="str">
        <f t="array" ref="B2:C2">'PRIV-VALID.'!B6:C6</f>
        <v>NeoLife AG</v>
      </c>
      <c r="C2" s="1">
        <v>0</v>
      </c>
    </row>
    <row r="3" spans="1:3" x14ac:dyDescent="0.35">
      <c r="A3" s="256" t="s">
        <v>456</v>
      </c>
      <c r="B3" s="48" t="s">
        <v>458</v>
      </c>
    </row>
    <row r="4" spans="1:3" x14ac:dyDescent="0.35">
      <c r="A4" s="255" t="s">
        <v>457</v>
      </c>
      <c r="B4" s="258">
        <f ca="1">NOW()</f>
        <v>45680.292758449075</v>
      </c>
    </row>
    <row r="5" spans="1:3" ht="4" customHeight="1" x14ac:dyDescent="0.35">
      <c r="A5" s="10"/>
      <c r="B5" s="10"/>
    </row>
    <row r="6" spans="1:3" x14ac:dyDescent="0.35">
      <c r="A6" s="10"/>
      <c r="B6" s="10"/>
    </row>
    <row r="7" spans="1:3" x14ac:dyDescent="0.35">
      <c r="A7" s="10"/>
      <c r="B7" s="10"/>
    </row>
    <row r="8" spans="1:3" x14ac:dyDescent="0.35">
      <c r="A8" s="10"/>
      <c r="B8" s="10"/>
    </row>
    <row r="9" spans="1:3" x14ac:dyDescent="0.35">
      <c r="A9" s="10"/>
      <c r="B9" s="10"/>
    </row>
    <row r="10" spans="1:3" x14ac:dyDescent="0.35">
      <c r="A10" s="10"/>
      <c r="B10" s="10"/>
    </row>
    <row r="11" spans="1:3" x14ac:dyDescent="0.35">
      <c r="A11" s="10"/>
      <c r="B11" s="10"/>
    </row>
    <row r="12" spans="1:3" x14ac:dyDescent="0.35">
      <c r="A12" s="10"/>
      <c r="B12" s="10"/>
    </row>
    <row r="13" spans="1:3" x14ac:dyDescent="0.35">
      <c r="A13" s="10"/>
      <c r="B13" s="10"/>
    </row>
    <row r="14" spans="1:3" x14ac:dyDescent="0.35">
      <c r="A14" s="10"/>
      <c r="B14" s="10"/>
    </row>
    <row r="15" spans="1:3" x14ac:dyDescent="0.35">
      <c r="A15" s="10"/>
      <c r="B15" s="10"/>
    </row>
    <row r="16" spans="1:3" x14ac:dyDescent="0.35">
      <c r="A16" s="10"/>
      <c r="B16" s="10"/>
    </row>
    <row r="17" spans="1:2" x14ac:dyDescent="0.35">
      <c r="A17" s="10"/>
      <c r="B17" s="10"/>
    </row>
    <row r="18" spans="1:2" x14ac:dyDescent="0.35">
      <c r="A18" s="10"/>
      <c r="B18" s="10"/>
    </row>
    <row r="19" spans="1:2" x14ac:dyDescent="0.35">
      <c r="A19" s="10"/>
      <c r="B19" s="10"/>
    </row>
    <row r="20" spans="1:2" x14ac:dyDescent="0.35">
      <c r="A20" s="10"/>
      <c r="B20" s="10"/>
    </row>
    <row r="21" spans="1:2" x14ac:dyDescent="0.35">
      <c r="A21" s="10"/>
      <c r="B21" s="10"/>
    </row>
    <row r="22" spans="1:2" x14ac:dyDescent="0.35">
      <c r="A22" s="10"/>
      <c r="B22" s="10"/>
    </row>
    <row r="23" spans="1:2" x14ac:dyDescent="0.35">
      <c r="A23" s="10"/>
      <c r="B23" s="10"/>
    </row>
    <row r="24" spans="1:2" x14ac:dyDescent="0.35">
      <c r="A24" s="10"/>
      <c r="B24" s="10"/>
    </row>
    <row r="25" spans="1:2" x14ac:dyDescent="0.35">
      <c r="A25" s="10"/>
      <c r="B25" s="10"/>
    </row>
    <row r="26" spans="1:2" x14ac:dyDescent="0.35">
      <c r="A26" s="10"/>
      <c r="B26" s="10"/>
    </row>
    <row r="27" spans="1:2" x14ac:dyDescent="0.35">
      <c r="A27" s="10"/>
      <c r="B27" s="10"/>
    </row>
    <row r="28" spans="1:2" x14ac:dyDescent="0.35">
      <c r="A28" s="10"/>
      <c r="B28" s="10"/>
    </row>
    <row r="29" spans="1:2" x14ac:dyDescent="0.35">
      <c r="A29" s="10"/>
      <c r="B29" s="10"/>
    </row>
    <row r="30" spans="1:2" x14ac:dyDescent="0.35">
      <c r="A30" s="10"/>
      <c r="B30" s="10"/>
    </row>
    <row r="31" spans="1:2" x14ac:dyDescent="0.35">
      <c r="A31" s="10"/>
      <c r="B31" s="10"/>
    </row>
    <row r="32" spans="1:2" x14ac:dyDescent="0.35">
      <c r="A32" s="10"/>
      <c r="B32" s="10"/>
    </row>
    <row r="33" spans="1:2" x14ac:dyDescent="0.35">
      <c r="A33" s="10"/>
      <c r="B33" s="10"/>
    </row>
    <row r="34" spans="1:2" x14ac:dyDescent="0.35">
      <c r="A34" s="10"/>
      <c r="B34" s="10"/>
    </row>
    <row r="35" spans="1:2" x14ac:dyDescent="0.35">
      <c r="A35" s="10"/>
      <c r="B35" s="10"/>
    </row>
    <row r="36" spans="1:2" x14ac:dyDescent="0.35">
      <c r="A36" s="10"/>
      <c r="B36" s="10"/>
    </row>
    <row r="37" spans="1:2" x14ac:dyDescent="0.35">
      <c r="A37" s="10"/>
      <c r="B37" s="10"/>
    </row>
    <row r="38" spans="1:2" x14ac:dyDescent="0.35">
      <c r="A38" s="10"/>
      <c r="B38" s="10"/>
    </row>
    <row r="39" spans="1:2" x14ac:dyDescent="0.35">
      <c r="A39" s="10"/>
      <c r="B39" s="10"/>
    </row>
    <row r="40" spans="1:2" x14ac:dyDescent="0.35">
      <c r="A40" s="10"/>
      <c r="B40" s="10"/>
    </row>
    <row r="41" spans="1:2" x14ac:dyDescent="0.35">
      <c r="A41" s="10"/>
      <c r="B41" s="10"/>
    </row>
    <row r="42" spans="1:2" x14ac:dyDescent="0.35">
      <c r="A42" s="10"/>
      <c r="B42" s="10"/>
    </row>
    <row r="43" spans="1:2" x14ac:dyDescent="0.35">
      <c r="A43" s="10"/>
      <c r="B43" s="10"/>
    </row>
    <row r="44" spans="1:2" x14ac:dyDescent="0.35">
      <c r="A44" s="10"/>
      <c r="B44" s="10"/>
    </row>
    <row r="45" spans="1:2" x14ac:dyDescent="0.35">
      <c r="A45" s="10"/>
      <c r="B45" s="10"/>
    </row>
    <row r="46" spans="1:2" x14ac:dyDescent="0.35">
      <c r="A46" s="10"/>
      <c r="B46" s="10"/>
    </row>
    <row r="47" spans="1:2" x14ac:dyDescent="0.35">
      <c r="A47" s="10"/>
      <c r="B47" s="10"/>
    </row>
    <row r="48" spans="1:2" x14ac:dyDescent="0.35">
      <c r="A48" s="10"/>
      <c r="B48" s="10"/>
    </row>
    <row r="49" spans="1:2" x14ac:dyDescent="0.35">
      <c r="A49" s="10"/>
      <c r="B49" s="10"/>
    </row>
    <row r="50" spans="1:2" x14ac:dyDescent="0.35">
      <c r="A50" s="10"/>
      <c r="B50" s="10"/>
    </row>
    <row r="51" spans="1:2" x14ac:dyDescent="0.35">
      <c r="A51" s="10"/>
      <c r="B51" s="10"/>
    </row>
  </sheetData>
  <sheetProtection sheet="1" objects="1" scenarios="1"/>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29EC1-C208-4B9D-9D5F-F6DF7788127C}">
  <sheetPr codeName="Foglio12"/>
  <dimension ref="A1:R44"/>
  <sheetViews>
    <sheetView workbookViewId="0">
      <selection activeCell="A28" sqref="A28"/>
    </sheetView>
  </sheetViews>
  <sheetFormatPr defaultColWidth="8.7265625" defaultRowHeight="15.5" x14ac:dyDescent="0.35"/>
  <cols>
    <col min="1" max="1" width="5.26953125" style="1" customWidth="1"/>
    <col min="2" max="2" width="11" style="1" customWidth="1"/>
    <col min="3" max="3" width="11.7265625" style="1" customWidth="1"/>
    <col min="4" max="4" width="14" style="1" customWidth="1"/>
    <col min="5" max="5" width="13.453125" style="1" customWidth="1"/>
    <col min="6" max="6" width="3" style="1" customWidth="1"/>
    <col min="7" max="7" width="8.7265625" style="1"/>
    <col min="8" max="8" width="14.81640625" style="1" customWidth="1"/>
    <col min="9" max="9" width="8.7265625" style="1"/>
    <col min="10" max="10" width="15.453125" style="1" customWidth="1"/>
    <col min="11" max="11" width="9.54296875" style="1" customWidth="1"/>
    <col min="12" max="12" width="13.54296875" style="1" customWidth="1"/>
    <col min="13" max="14" width="31.81640625" style="1" hidden="1" customWidth="1"/>
    <col min="15" max="15" width="19.81640625" style="1" hidden="1" customWidth="1"/>
    <col min="16" max="17" width="16.81640625" style="1" hidden="1" customWidth="1"/>
    <col min="18" max="18" width="12.54296875" style="1" hidden="1" customWidth="1"/>
    <col min="19" max="16384" width="8.7265625" style="1"/>
  </cols>
  <sheetData>
    <row r="1" spans="1:18" ht="18.5" x14ac:dyDescent="0.45">
      <c r="A1" s="1560" t="s">
        <v>194</v>
      </c>
      <c r="B1" s="1560"/>
      <c r="C1" s="1560"/>
      <c r="D1" s="1560"/>
      <c r="E1" s="1560"/>
      <c r="F1"/>
      <c r="G1" s="1352">
        <f xml:space="preserve"> 'PRIV-VALID.'!B10</f>
        <v>0</v>
      </c>
      <c r="H1" s="1352"/>
      <c r="I1" s="1352"/>
      <c r="J1" s="1352"/>
      <c r="K1" s="1352"/>
    </row>
    <row r="2" spans="1:18" ht="8.25" customHeight="1" x14ac:dyDescent="0.45">
      <c r="A2" s="71"/>
    </row>
    <row r="3" spans="1:18" ht="14.15" customHeight="1" x14ac:dyDescent="0.35">
      <c r="A3" s="1561" t="s">
        <v>153</v>
      </c>
      <c r="B3" s="1561"/>
      <c r="C3" s="1561"/>
      <c r="D3" s="1561"/>
      <c r="E3" s="85">
        <f>'PRIV-VALID.'!B14+'PRIV-VALID.'!B69</f>
        <v>0</v>
      </c>
      <c r="G3" s="1561" t="s">
        <v>183</v>
      </c>
      <c r="H3" s="1561"/>
      <c r="I3" s="1561"/>
      <c r="J3" s="1561"/>
      <c r="K3" s="85">
        <f>'PRIV-VALID.'!B19+'PRIV-VALID.'!B74</f>
        <v>0</v>
      </c>
    </row>
    <row r="4" spans="1:18" ht="14.15" customHeight="1" x14ac:dyDescent="0.35">
      <c r="A4" s="1561" t="s">
        <v>154</v>
      </c>
      <c r="B4" s="1561"/>
      <c r="C4" s="1561"/>
      <c r="D4" s="1561"/>
      <c r="E4" s="85">
        <f>'PRIV-VALID.'!B73+'PRIV-VALID.'!B18+(K5/4)</f>
        <v>0</v>
      </c>
      <c r="G4" s="1562" t="s">
        <v>184</v>
      </c>
      <c r="H4" s="1562"/>
      <c r="I4" s="1562"/>
      <c r="J4" s="1562"/>
      <c r="K4" s="86">
        <v>0</v>
      </c>
    </row>
    <row r="5" spans="1:18" ht="14.15" customHeight="1" x14ac:dyDescent="0.35">
      <c r="A5" s="1562" t="s">
        <v>155</v>
      </c>
      <c r="B5" s="1562"/>
      <c r="C5" s="1562"/>
      <c r="D5" s="1562"/>
      <c r="E5" s="86">
        <v>0</v>
      </c>
      <c r="G5" s="1561" t="s">
        <v>177</v>
      </c>
      <c r="H5" s="1561"/>
      <c r="I5" s="1561"/>
      <c r="J5" s="1561"/>
      <c r="K5" s="86">
        <f>('PRIV-VALID.'!B14+'PRIV-VALID.'!B69)*40%-'PRIV-VALID.'!B73-'PRIV-VALID.'!B18</f>
        <v>0</v>
      </c>
    </row>
    <row r="6" spans="1:18" ht="14.15" customHeight="1" x14ac:dyDescent="0.35">
      <c r="A6" s="1562" t="s">
        <v>195</v>
      </c>
      <c r="B6" s="1562"/>
      <c r="C6" s="1562"/>
      <c r="D6" s="1562"/>
      <c r="E6" s="85">
        <f>'PRIV-VALID.'!B30+'PRIV-VALID.'!B85</f>
        <v>0</v>
      </c>
      <c r="G6" s="1561" t="s">
        <v>156</v>
      </c>
      <c r="H6" s="1561"/>
      <c r="I6" s="1561"/>
      <c r="J6" s="1561"/>
      <c r="K6" s="88">
        <f>'PRIV-VALID.'!B20+'PRIV-VALID.'!B75</f>
        <v>0</v>
      </c>
    </row>
    <row r="7" spans="1:18" ht="14.15" customHeight="1" x14ac:dyDescent="0.35">
      <c r="A7" s="1561" t="s">
        <v>157</v>
      </c>
      <c r="B7" s="1561"/>
      <c r="C7" s="1561"/>
      <c r="D7" s="1561"/>
      <c r="E7" s="85">
        <f>'PRIV-VALID.'!B31+'PRIV-VALID.'!B86</f>
        <v>0</v>
      </c>
      <c r="G7" s="1563" t="s">
        <v>158</v>
      </c>
      <c r="H7" s="1563"/>
      <c r="I7" s="1563"/>
      <c r="J7" s="1563"/>
      <c r="K7" s="89">
        <f>'PRIV-VALID.'!B21+'PRIV-VALID.'!B76</f>
        <v>0</v>
      </c>
    </row>
    <row r="8" spans="1:18" ht="9.65" customHeight="1" x14ac:dyDescent="0.35">
      <c r="A8"/>
      <c r="B8"/>
      <c r="C8"/>
      <c r="D8"/>
      <c r="E8"/>
    </row>
    <row r="9" spans="1:18" ht="18.5" x14ac:dyDescent="0.45">
      <c r="A9" s="1564" t="s">
        <v>159</v>
      </c>
      <c r="B9" s="1564"/>
      <c r="C9" s="1564"/>
      <c r="D9" s="1564"/>
      <c r="E9" s="1564"/>
      <c r="G9" s="1358" t="str">
        <f ca="1">IF((K3/5*100)&lt;E17,"ATTENZIONE: l'ACQUISTO INDICATO È POSSIBILE SOLO CON CASH MIN. = ","")</f>
        <v/>
      </c>
      <c r="H9" s="1358"/>
      <c r="I9" s="1358"/>
      <c r="J9" s="1358"/>
      <c r="K9" s="1358"/>
      <c r="L9" s="72" t="str">
        <f ca="1">IF(K3/5*100&lt;E17,E17/20,"")</f>
        <v/>
      </c>
    </row>
    <row r="10" spans="1:18" ht="14.15" customHeight="1" x14ac:dyDescent="0.35">
      <c r="A10" s="1562" t="s">
        <v>160</v>
      </c>
      <c r="B10" s="1562"/>
      <c r="C10" s="1562"/>
      <c r="D10" s="1562"/>
      <c r="E10" s="73">
        <f>((K3+K4+K5)/10*80)</f>
        <v>0</v>
      </c>
      <c r="G10" s="1360"/>
      <c r="H10" s="1360"/>
      <c r="I10" s="1360"/>
      <c r="J10" s="1360"/>
      <c r="K10" s="1360"/>
    </row>
    <row r="11" spans="1:18" ht="14.15" customHeight="1" x14ac:dyDescent="0.35">
      <c r="A11" s="1562" t="s">
        <v>161</v>
      </c>
      <c r="B11" s="1562"/>
      <c r="C11" s="1562"/>
      <c r="D11" s="1562"/>
      <c r="E11" s="74">
        <f>(E6+K3+K4+K5)/20*80</f>
        <v>0</v>
      </c>
      <c r="G11" s="1360" t="str">
        <f>IF([1]Foglio1!B1&gt;[1]Foglio1!B2,"",[1]Foglio1!B6)</f>
        <v/>
      </c>
      <c r="H11" s="1360"/>
      <c r="I11" s="1360"/>
      <c r="J11" s="1360"/>
      <c r="K11" s="1360"/>
    </row>
    <row r="12" spans="1:18" ht="14.15" customHeight="1" x14ac:dyDescent="0.35">
      <c r="A12" s="1562" t="s">
        <v>162</v>
      </c>
      <c r="B12" s="1562"/>
      <c r="C12" s="1562"/>
      <c r="D12" s="1562"/>
      <c r="E12" s="74">
        <f>((E3/3)-E4+E5)/7*100</f>
        <v>0</v>
      </c>
    </row>
    <row r="13" spans="1:18" ht="10.5" customHeight="1" x14ac:dyDescent="0.35">
      <c r="A13" s="75"/>
      <c r="B13" s="75"/>
      <c r="C13" s="75"/>
      <c r="D13" s="75"/>
      <c r="E13" s="76"/>
    </row>
    <row r="14" spans="1:18" ht="12.75" customHeight="1" x14ac:dyDescent="0.35">
      <c r="A14" s="1565" t="s">
        <v>163</v>
      </c>
      <c r="B14" s="1565"/>
      <c r="C14" s="1565"/>
      <c r="D14" s="1565"/>
      <c r="E14" s="1566">
        <f>K6/12</f>
        <v>0</v>
      </c>
    </row>
    <row r="15" spans="1:18" ht="29.25" customHeight="1" x14ac:dyDescent="0.35">
      <c r="A15" s="1565"/>
      <c r="B15" s="1565"/>
      <c r="C15" s="1565"/>
      <c r="D15" s="1565"/>
      <c r="E15" s="1566"/>
      <c r="M15" s="1346" t="s">
        <v>164</v>
      </c>
      <c r="N15" s="1346"/>
      <c r="O15" s="1346"/>
      <c r="P15" s="1" t="s">
        <v>165</v>
      </c>
      <c r="R15" s="1" t="s">
        <v>166</v>
      </c>
    </row>
    <row r="16" spans="1:18" ht="14.15" customHeight="1" x14ac:dyDescent="0.35">
      <c r="A16" s="77"/>
      <c r="B16" s="77" t="s">
        <v>167</v>
      </c>
      <c r="C16" s="77" t="s">
        <v>168</v>
      </c>
      <c r="D16" s="77" t="s">
        <v>169</v>
      </c>
      <c r="E16" s="78" t="s">
        <v>170</v>
      </c>
      <c r="F16"/>
      <c r="M16" s="1" t="s">
        <v>171</v>
      </c>
      <c r="N16" s="1" t="s">
        <v>172</v>
      </c>
      <c r="O16" s="1" t="s">
        <v>173</v>
      </c>
      <c r="P16" s="1" t="s">
        <v>174</v>
      </c>
      <c r="Q16" s="1" t="s">
        <v>147</v>
      </c>
      <c r="R16" s="1" t="s">
        <v>175</v>
      </c>
    </row>
    <row r="17" spans="1:18" ht="14.15" customHeight="1" x14ac:dyDescent="0.35">
      <c r="A17" s="79">
        <f ca="1">'Parametri generali'!B6</f>
        <v>2025</v>
      </c>
      <c r="B17" s="73">
        <f>$K$3+$K$4+$K$5</f>
        <v>0</v>
      </c>
      <c r="C17" s="73">
        <f>$E$6</f>
        <v>0</v>
      </c>
      <c r="D17" s="73">
        <f t="shared" ref="D17:D22" ca="1" si="0">R17</f>
        <v>0</v>
      </c>
      <c r="E17" s="80">
        <f t="shared" ref="E17:E22" ca="1" si="1">IF((B17+C17+D17)&gt;(B17/10*100),(B17/10*100),(B17+C17+D17))</f>
        <v>0</v>
      </c>
      <c r="F17"/>
      <c r="M17" s="1">
        <f t="shared" ref="M17:M22" si="2">B17/10*80</f>
        <v>0</v>
      </c>
      <c r="N17" s="1">
        <f t="shared" ref="N17:N22" si="3">(B17+C17)/20*80</f>
        <v>0</v>
      </c>
      <c r="O17" s="1">
        <f t="shared" ref="O17:O22" si="4">IF(M17&lt;N17,M17,N17)</f>
        <v>0</v>
      </c>
      <c r="P17" s="1">
        <f>'PRIV-VALID.'!B113</f>
        <v>0</v>
      </c>
      <c r="Q17" s="81">
        <f>($E$3/3+$E$5-P17)/7*100</f>
        <v>0</v>
      </c>
      <c r="R17" s="82">
        <f ca="1">IF(O17&lt;Q17,O17*'calcoli Cliente'!$B$55,Q17*'calcoli Cliente'!$B$55)</f>
        <v>0</v>
      </c>
    </row>
    <row r="18" spans="1:18" ht="14.15" customHeight="1" x14ac:dyDescent="0.35">
      <c r="A18" s="79">
        <f ca="1">A17+1</f>
        <v>2026</v>
      </c>
      <c r="B18" s="73">
        <f>B17+'PRIV-VALID.'!B161</f>
        <v>0</v>
      </c>
      <c r="C18" s="73">
        <f>C17+$E$7</f>
        <v>0</v>
      </c>
      <c r="D18" s="73">
        <f t="shared" ca="1" si="0"/>
        <v>0</v>
      </c>
      <c r="E18" s="80">
        <f t="shared" ca="1" si="1"/>
        <v>0</v>
      </c>
      <c r="F18"/>
      <c r="M18" s="1">
        <f t="shared" si="2"/>
        <v>0</v>
      </c>
      <c r="N18" s="1">
        <f t="shared" si="3"/>
        <v>0</v>
      </c>
      <c r="O18" s="1">
        <f t="shared" si="4"/>
        <v>0</v>
      </c>
      <c r="P18" s="1">
        <f>'PRIV-VALID.'!B114</f>
        <v>0</v>
      </c>
      <c r="Q18" s="81">
        <f>('PRIV-VALID.'!B138/3+$E$5-P18)/7*100</f>
        <v>0</v>
      </c>
      <c r="R18" s="82">
        <f ca="1">IF(O18&lt;Q18,O18*'calcoli Cliente'!$B$55,Q18*'calcoli Cliente'!$B$55)</f>
        <v>0</v>
      </c>
    </row>
    <row r="19" spans="1:18" ht="14.15" customHeight="1" x14ac:dyDescent="0.35">
      <c r="A19" s="79">
        <f ca="1">A18+1</f>
        <v>2027</v>
      </c>
      <c r="B19" s="73">
        <f>B18+'PRIV-VALID.'!B162</f>
        <v>0</v>
      </c>
      <c r="C19" s="73">
        <f>C18+$E$7</f>
        <v>0</v>
      </c>
      <c r="D19" s="73">
        <f t="shared" ca="1" si="0"/>
        <v>0</v>
      </c>
      <c r="E19" s="80">
        <f t="shared" ca="1" si="1"/>
        <v>0</v>
      </c>
      <c r="F19"/>
      <c r="M19" s="1">
        <f t="shared" si="2"/>
        <v>0</v>
      </c>
      <c r="N19" s="1">
        <f t="shared" si="3"/>
        <v>0</v>
      </c>
      <c r="O19" s="1">
        <f t="shared" si="4"/>
        <v>0</v>
      </c>
      <c r="P19" s="1">
        <f>'PRIV-VALID.'!B115</f>
        <v>0</v>
      </c>
      <c r="Q19" s="81">
        <f>('PRIV-VALID.'!B139/3+$E$5-P19)/7*100</f>
        <v>0</v>
      </c>
      <c r="R19" s="82">
        <f ca="1">IF(O19&lt;Q19,O19*'calcoli Cliente'!$B$55,Q19*'calcoli Cliente'!$B$55)</f>
        <v>0</v>
      </c>
    </row>
    <row r="20" spans="1:18" ht="14.15" customHeight="1" x14ac:dyDescent="0.35">
      <c r="A20" s="79">
        <f ca="1">A19+1</f>
        <v>2028</v>
      </c>
      <c r="B20" s="73">
        <f>B19+'PRIV-VALID.'!B163</f>
        <v>0</v>
      </c>
      <c r="C20" s="73">
        <f>C19+$E$7</f>
        <v>0</v>
      </c>
      <c r="D20" s="73">
        <f t="shared" ca="1" si="0"/>
        <v>0</v>
      </c>
      <c r="E20" s="80">
        <f t="shared" ca="1" si="1"/>
        <v>0</v>
      </c>
      <c r="F20"/>
      <c r="M20" s="1">
        <f t="shared" si="2"/>
        <v>0</v>
      </c>
      <c r="N20" s="1">
        <f t="shared" si="3"/>
        <v>0</v>
      </c>
      <c r="O20" s="1">
        <f t="shared" si="4"/>
        <v>0</v>
      </c>
      <c r="P20" s="1">
        <f>'PRIV-VALID.'!B116</f>
        <v>0</v>
      </c>
      <c r="Q20" s="81">
        <f>('PRIV-VALID.'!B140/3+$E$5-P20)/7*100</f>
        <v>0</v>
      </c>
      <c r="R20" s="82">
        <f ca="1">IF(O20&lt;Q20,O20*'calcoli Cliente'!$B$55,Q20*'calcoli Cliente'!$B$55)</f>
        <v>0</v>
      </c>
    </row>
    <row r="21" spans="1:18" ht="14.15" customHeight="1" x14ac:dyDescent="0.35">
      <c r="A21" s="79">
        <f ca="1">A20+1</f>
        <v>2029</v>
      </c>
      <c r="B21" s="73">
        <f>B20+'PRIV-VALID.'!B164</f>
        <v>0</v>
      </c>
      <c r="C21" s="73">
        <f>C20+$E$7</f>
        <v>0</v>
      </c>
      <c r="D21" s="73">
        <f t="shared" ca="1" si="0"/>
        <v>0</v>
      </c>
      <c r="E21" s="80">
        <f t="shared" ca="1" si="1"/>
        <v>0</v>
      </c>
      <c r="F21"/>
      <c r="M21" s="1">
        <f t="shared" si="2"/>
        <v>0</v>
      </c>
      <c r="N21" s="1">
        <f t="shared" si="3"/>
        <v>0</v>
      </c>
      <c r="O21" s="1">
        <f t="shared" si="4"/>
        <v>0</v>
      </c>
      <c r="P21" s="1">
        <f>'PRIV-VALID.'!B117</f>
        <v>0</v>
      </c>
      <c r="Q21" s="81">
        <f>('PRIV-VALID.'!B141/3+$E$5-P21)/7*100</f>
        <v>0</v>
      </c>
      <c r="R21" s="82">
        <f ca="1">IF(O21&lt;Q21,O21*'calcoli Cliente'!$B$55,Q21*'calcoli Cliente'!$B$55)</f>
        <v>0</v>
      </c>
    </row>
    <row r="22" spans="1:18" ht="14.15" customHeight="1" x14ac:dyDescent="0.35">
      <c r="A22" s="79">
        <f ca="1">A21+1</f>
        <v>2030</v>
      </c>
      <c r="B22" s="73">
        <f>B21+'PRIV-VALID.'!B165</f>
        <v>0</v>
      </c>
      <c r="C22" s="73">
        <f>C21+$E$7</f>
        <v>0</v>
      </c>
      <c r="D22" s="73">
        <f t="shared" ca="1" si="0"/>
        <v>0</v>
      </c>
      <c r="E22" s="80">
        <f t="shared" ca="1" si="1"/>
        <v>0</v>
      </c>
      <c r="F22"/>
      <c r="M22" s="1">
        <f t="shared" si="2"/>
        <v>0</v>
      </c>
      <c r="N22" s="1">
        <f t="shared" si="3"/>
        <v>0</v>
      </c>
      <c r="O22" s="1">
        <f t="shared" si="4"/>
        <v>0</v>
      </c>
      <c r="P22" s="1">
        <f>'PRIV-VALID.'!B118</f>
        <v>0</v>
      </c>
      <c r="Q22" s="81">
        <f>('PRIV-VALID.'!B142/3+$E$5-P22)/7*100</f>
        <v>0</v>
      </c>
      <c r="R22" s="82">
        <f ca="1">IF(O22&lt;Q22,O22*'calcoli Cliente'!$B$55,Q22*'calcoli Cliente'!$B$55)</f>
        <v>0</v>
      </c>
    </row>
    <row r="23" spans="1:18" ht="11.25" customHeight="1" x14ac:dyDescent="0.35">
      <c r="B23" s="83"/>
      <c r="C23" s="83"/>
      <c r="D23" s="83"/>
      <c r="E23" s="83"/>
      <c r="R23" s="82"/>
    </row>
    <row r="24" spans="1:18" ht="12.75" customHeight="1" x14ac:dyDescent="0.35">
      <c r="A24" s="1565" t="s">
        <v>163</v>
      </c>
      <c r="B24" s="1567"/>
      <c r="C24" s="1567"/>
      <c r="D24" s="1567"/>
      <c r="E24" s="1566">
        <f>K7/12</f>
        <v>0</v>
      </c>
      <c r="R24" s="82"/>
    </row>
    <row r="25" spans="1:18" ht="15" customHeight="1" x14ac:dyDescent="0.35">
      <c r="A25" s="1567"/>
      <c r="B25" s="1567"/>
      <c r="C25" s="1567"/>
      <c r="D25" s="1567"/>
      <c r="E25" s="1566"/>
      <c r="F25" s="83"/>
      <c r="R25" s="82"/>
    </row>
    <row r="26" spans="1:18" ht="15" customHeight="1" x14ac:dyDescent="0.35">
      <c r="A26" s="1567"/>
      <c r="B26" s="1567"/>
      <c r="C26" s="1567"/>
      <c r="D26" s="1567"/>
      <c r="E26" s="1566"/>
      <c r="R26" s="82"/>
    </row>
    <row r="27" spans="1:18" ht="14.15" customHeight="1" x14ac:dyDescent="0.35">
      <c r="A27" s="77"/>
      <c r="B27" s="77" t="s">
        <v>167</v>
      </c>
      <c r="C27" s="77" t="s">
        <v>168</v>
      </c>
      <c r="D27" s="84" t="s">
        <v>169</v>
      </c>
      <c r="E27" s="78" t="s">
        <v>170</v>
      </c>
      <c r="F27"/>
      <c r="R27" s="82"/>
    </row>
    <row r="28" spans="1:18" ht="14.15" customHeight="1" x14ac:dyDescent="0.35">
      <c r="A28" s="79">
        <f t="shared" ref="A28:A33" ca="1" si="5">A17</f>
        <v>2025</v>
      </c>
      <c r="B28" s="73">
        <f>$K$3+$K$4+$K$5</f>
        <v>0</v>
      </c>
      <c r="C28" s="73">
        <f>$E$6</f>
        <v>0</v>
      </c>
      <c r="D28" s="73">
        <f t="shared" ref="D28:D33" ca="1" si="6">R28</f>
        <v>0</v>
      </c>
      <c r="E28" s="80">
        <f t="shared" ref="E28:E33" ca="1" si="7">IF((B28+C28+D28)&gt;(B28/10*100),(B28/10*100),(B28+C28+D28))</f>
        <v>0</v>
      </c>
      <c r="F28"/>
      <c r="M28" s="1">
        <f t="shared" ref="M28:M33" si="8">B28/10*80</f>
        <v>0</v>
      </c>
      <c r="N28" s="1">
        <f t="shared" ref="N28:N33" si="9">(B28+C28)/20*80</f>
        <v>0</v>
      </c>
      <c r="O28" s="1">
        <f t="shared" ref="O28:O33" si="10">IF(M28&lt;N28,M28,N28)</f>
        <v>0</v>
      </c>
      <c r="P28" s="1">
        <f>'PRIV-VALID.'!B124</f>
        <v>0</v>
      </c>
      <c r="Q28" s="81">
        <f>($E$3/3+$E$5-P28)/7*100</f>
        <v>0</v>
      </c>
      <c r="R28" s="82">
        <f ca="1">IF(O28&lt;Q28,O28*'calcoli Cliente'!$B$55,Q28*'calcoli Cliente'!$B$55)</f>
        <v>0</v>
      </c>
    </row>
    <row r="29" spans="1:18" ht="14.15" customHeight="1" x14ac:dyDescent="0.35">
      <c r="A29" s="79">
        <f t="shared" ca="1" si="5"/>
        <v>2026</v>
      </c>
      <c r="B29" s="73">
        <f>B28+'PRIV-VALID.'!B172</f>
        <v>0</v>
      </c>
      <c r="C29" s="73">
        <f>C28+$E$7</f>
        <v>0</v>
      </c>
      <c r="D29" s="73">
        <f t="shared" ca="1" si="6"/>
        <v>0</v>
      </c>
      <c r="E29" s="80">
        <f t="shared" ca="1" si="7"/>
        <v>0</v>
      </c>
      <c r="F29"/>
      <c r="M29" s="1">
        <f t="shared" si="8"/>
        <v>0</v>
      </c>
      <c r="N29" s="1">
        <f t="shared" si="9"/>
        <v>0</v>
      </c>
      <c r="O29" s="1">
        <f t="shared" si="10"/>
        <v>0</v>
      </c>
      <c r="P29" s="1">
        <f>'PRIV-VALID.'!B125</f>
        <v>0</v>
      </c>
      <c r="Q29" s="81">
        <f>('PRIV-VALID.'!B149/3+$E$5-P29)/7*100</f>
        <v>0</v>
      </c>
      <c r="R29" s="82">
        <f ca="1">IF(O29&lt;Q29,O29*'calcoli Cliente'!$B$55,Q29*'calcoli Cliente'!$B$55)</f>
        <v>0</v>
      </c>
    </row>
    <row r="30" spans="1:18" ht="14.15" customHeight="1" x14ac:dyDescent="0.35">
      <c r="A30" s="79">
        <f t="shared" ca="1" si="5"/>
        <v>2027</v>
      </c>
      <c r="B30" s="73">
        <f>B29+'PRIV-VALID.'!B173</f>
        <v>0</v>
      </c>
      <c r="C30" s="73">
        <f>C29+$E$7</f>
        <v>0</v>
      </c>
      <c r="D30" s="73">
        <f t="shared" ca="1" si="6"/>
        <v>0</v>
      </c>
      <c r="E30" s="80">
        <f t="shared" ca="1" si="7"/>
        <v>0</v>
      </c>
      <c r="F30"/>
      <c r="M30" s="1">
        <f t="shared" si="8"/>
        <v>0</v>
      </c>
      <c r="N30" s="1">
        <f t="shared" si="9"/>
        <v>0</v>
      </c>
      <c r="O30" s="1">
        <f t="shared" si="10"/>
        <v>0</v>
      </c>
      <c r="P30" s="1">
        <f>'PRIV-VALID.'!B126</f>
        <v>0</v>
      </c>
      <c r="Q30" s="81">
        <f>('PRIV-VALID.'!B150/3+$E$5-P30)/7*100</f>
        <v>0</v>
      </c>
      <c r="R30" s="82">
        <f ca="1">IF(O30&lt;Q30,O30*'calcoli Cliente'!$B$55,Q30*'calcoli Cliente'!$B$55)</f>
        <v>0</v>
      </c>
    </row>
    <row r="31" spans="1:18" ht="14.15" customHeight="1" x14ac:dyDescent="0.35">
      <c r="A31" s="79">
        <f t="shared" ca="1" si="5"/>
        <v>2028</v>
      </c>
      <c r="B31" s="73">
        <f>B30+'PRIV-VALID.'!B174</f>
        <v>0</v>
      </c>
      <c r="C31" s="73">
        <f>C30+$E$7</f>
        <v>0</v>
      </c>
      <c r="D31" s="73">
        <f t="shared" ca="1" si="6"/>
        <v>0</v>
      </c>
      <c r="E31" s="80">
        <f t="shared" ca="1" si="7"/>
        <v>0</v>
      </c>
      <c r="F31"/>
      <c r="M31" s="1">
        <f t="shared" si="8"/>
        <v>0</v>
      </c>
      <c r="N31" s="1">
        <f t="shared" si="9"/>
        <v>0</v>
      </c>
      <c r="O31" s="1">
        <f t="shared" si="10"/>
        <v>0</v>
      </c>
      <c r="P31" s="1">
        <f>'PRIV-VALID.'!B127</f>
        <v>0</v>
      </c>
      <c r="Q31" s="81">
        <f>('PRIV-VALID.'!B151/3+$E$5-P31)/7*100</f>
        <v>0</v>
      </c>
      <c r="R31" s="82">
        <f ca="1">IF(O31&lt;Q31,O31*'calcoli Cliente'!$B$55,Q31*'calcoli Cliente'!$B$55)</f>
        <v>0</v>
      </c>
    </row>
    <row r="32" spans="1:18" ht="14.15" customHeight="1" x14ac:dyDescent="0.35">
      <c r="A32" s="79">
        <f t="shared" ca="1" si="5"/>
        <v>2029</v>
      </c>
      <c r="B32" s="73">
        <f>B31+'PRIV-VALID.'!B175</f>
        <v>0</v>
      </c>
      <c r="C32" s="73">
        <f>C31+$E$7</f>
        <v>0</v>
      </c>
      <c r="D32" s="73">
        <f t="shared" ca="1" si="6"/>
        <v>0</v>
      </c>
      <c r="E32" s="80">
        <f t="shared" ca="1" si="7"/>
        <v>0</v>
      </c>
      <c r="F32"/>
      <c r="M32" s="1">
        <f t="shared" si="8"/>
        <v>0</v>
      </c>
      <c r="N32" s="1">
        <f t="shared" si="9"/>
        <v>0</v>
      </c>
      <c r="O32" s="1">
        <f t="shared" si="10"/>
        <v>0</v>
      </c>
      <c r="P32" s="1">
        <f>'PRIV-VALID.'!B128</f>
        <v>0</v>
      </c>
      <c r="Q32" s="81">
        <f>('PRIV-VALID.'!B152/3+$E$5-P32)/7*100</f>
        <v>0</v>
      </c>
      <c r="R32" s="82">
        <f ca="1">IF(O32&lt;Q32,O32*'calcoli Cliente'!$B$55,Q32*'calcoli Cliente'!$B$55)</f>
        <v>0</v>
      </c>
    </row>
    <row r="33" spans="1:18" ht="14.15" customHeight="1" x14ac:dyDescent="0.35">
      <c r="A33" s="79">
        <f t="shared" ca="1" si="5"/>
        <v>2030</v>
      </c>
      <c r="B33" s="73">
        <f>B32+'PRIV-VALID.'!B176</f>
        <v>0</v>
      </c>
      <c r="C33" s="73">
        <f>C32+$E$7</f>
        <v>0</v>
      </c>
      <c r="D33" s="73">
        <f t="shared" ca="1" si="6"/>
        <v>0</v>
      </c>
      <c r="E33" s="80">
        <f t="shared" ca="1" si="7"/>
        <v>0</v>
      </c>
      <c r="F33"/>
      <c r="M33" s="1">
        <f t="shared" si="8"/>
        <v>0</v>
      </c>
      <c r="N33" s="1">
        <f t="shared" si="9"/>
        <v>0</v>
      </c>
      <c r="O33" s="1">
        <f t="shared" si="10"/>
        <v>0</v>
      </c>
      <c r="P33" s="1">
        <f>'PRIV-VALID.'!B129</f>
        <v>0</v>
      </c>
      <c r="Q33" s="81">
        <f>('PRIV-VALID.'!B153/3+$E$5-P33)/7*100</f>
        <v>0</v>
      </c>
      <c r="R33" s="82">
        <f ca="1">IF(O33&lt;Q33,O33*'calcoli Cliente'!$B$55,Q33*'calcoli Cliente'!$B$55)</f>
        <v>0</v>
      </c>
    </row>
    <row r="34" spans="1:18" x14ac:dyDescent="0.35">
      <c r="B34" s="83"/>
      <c r="C34" s="83"/>
      <c r="D34" s="83"/>
      <c r="E34" s="83"/>
    </row>
    <row r="35" spans="1:18" x14ac:dyDescent="0.35">
      <c r="C35" s="83"/>
      <c r="D35" s="83"/>
      <c r="E35" s="83"/>
      <c r="F35" s="83"/>
    </row>
    <row r="36" spans="1:18" x14ac:dyDescent="0.35">
      <c r="C36" s="83"/>
      <c r="D36" s="83"/>
      <c r="E36" s="83"/>
      <c r="F36" s="83"/>
    </row>
    <row r="37" spans="1:18" x14ac:dyDescent="0.35">
      <c r="C37" s="83"/>
      <c r="D37" s="83"/>
      <c r="E37" s="83"/>
      <c r="F37" s="83"/>
    </row>
    <row r="38" spans="1:18" x14ac:dyDescent="0.35">
      <c r="C38" s="83"/>
      <c r="D38" s="83"/>
      <c r="E38" s="83"/>
      <c r="F38" s="83"/>
    </row>
    <row r="39" spans="1:18" x14ac:dyDescent="0.35">
      <c r="C39" s="83"/>
      <c r="D39" s="83"/>
      <c r="E39" s="83"/>
      <c r="F39" s="83"/>
    </row>
    <row r="40" spans="1:18" x14ac:dyDescent="0.35">
      <c r="C40" s="83"/>
      <c r="D40" s="83"/>
      <c r="E40" s="83"/>
      <c r="F40" s="83"/>
    </row>
    <row r="41" spans="1:18" x14ac:dyDescent="0.35">
      <c r="C41" s="83"/>
      <c r="D41" s="83"/>
      <c r="E41" s="83"/>
      <c r="F41" s="83"/>
    </row>
    <row r="42" spans="1:18" x14ac:dyDescent="0.35">
      <c r="C42" s="83"/>
      <c r="D42" s="83"/>
      <c r="E42" s="83"/>
      <c r="F42" s="83"/>
    </row>
    <row r="43" spans="1:18" x14ac:dyDescent="0.35">
      <c r="C43" s="83"/>
      <c r="D43" s="83"/>
      <c r="E43" s="83"/>
      <c r="F43" s="83"/>
    </row>
    <row r="44" spans="1:18" x14ac:dyDescent="0.35">
      <c r="C44" s="83"/>
      <c r="D44" s="83"/>
      <c r="E44" s="83"/>
      <c r="F44" s="83"/>
    </row>
  </sheetData>
  <sheetProtection sheet="1"/>
  <mergeCells count="24">
    <mergeCell ref="A12:D12"/>
    <mergeCell ref="A14:D15"/>
    <mergeCell ref="E14:E15"/>
    <mergeCell ref="M15:O15"/>
    <mergeCell ref="A24:D26"/>
    <mergeCell ref="E24:E26"/>
    <mergeCell ref="A9:E9"/>
    <mergeCell ref="G9:K9"/>
    <mergeCell ref="A10:D10"/>
    <mergeCell ref="G10:K10"/>
    <mergeCell ref="A11:D11"/>
    <mergeCell ref="G11:K11"/>
    <mergeCell ref="A5:D5"/>
    <mergeCell ref="G5:J5"/>
    <mergeCell ref="A6:D6"/>
    <mergeCell ref="G6:J6"/>
    <mergeCell ref="A7:D7"/>
    <mergeCell ref="G7:J7"/>
    <mergeCell ref="A1:E1"/>
    <mergeCell ref="G1:K1"/>
    <mergeCell ref="A3:D3"/>
    <mergeCell ref="G3:J3"/>
    <mergeCell ref="A4:D4"/>
    <mergeCell ref="G4:J4"/>
  </mergeCells>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52EDE-37F2-4DF0-93B4-88CDB4A2F578}">
  <sheetPr codeName="Foglio13"/>
  <dimension ref="A1"/>
  <sheetViews>
    <sheetView workbookViewId="0">
      <selection sqref="A1:B20"/>
    </sheetView>
  </sheetViews>
  <sheetFormatPr defaultRowHeight="12.5" x14ac:dyDescent="0.25"/>
  <cols>
    <col min="1" max="1" width="18.453125" customWidth="1"/>
    <col min="2" max="2" width="30.7265625" customWidth="1"/>
  </cols>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D175B-8AED-4897-ACF0-41622BACCCD8}">
  <sheetPr codeName="Foglio14"/>
  <dimension ref="A1"/>
  <sheetViews>
    <sheetView workbookViewId="0">
      <selection sqref="A1:B20"/>
    </sheetView>
  </sheetViews>
  <sheetFormatPr defaultRowHeight="12.5" x14ac:dyDescent="0.25"/>
  <cols>
    <col min="1" max="1" width="18.453125" customWidth="1"/>
    <col min="2" max="2" width="30.7265625" customWidth="1"/>
  </cols>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2FBF3-1E36-4188-AA7B-1BAFF54AD8E1}">
  <sheetPr codeName="Foglio15"/>
  <dimension ref="A1"/>
  <sheetViews>
    <sheetView workbookViewId="0">
      <selection sqref="A1:B20"/>
    </sheetView>
  </sheetViews>
  <sheetFormatPr defaultRowHeight="12.5" x14ac:dyDescent="0.25"/>
  <cols>
    <col min="1" max="1" width="18.453125" customWidth="1"/>
    <col min="2" max="2" width="30.7265625" customWidth="1"/>
  </cols>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9B63E-6D25-45A5-907E-7812EB39D214}">
  <dimension ref="A2:G67"/>
  <sheetViews>
    <sheetView topLeftCell="A46" workbookViewId="0">
      <selection activeCell="D71" sqref="D71"/>
    </sheetView>
  </sheetViews>
  <sheetFormatPr defaultRowHeight="12.5" x14ac:dyDescent="0.25"/>
  <cols>
    <col min="2" max="2" width="20.81640625" customWidth="1"/>
    <col min="3" max="3" width="9.81640625" customWidth="1"/>
    <col min="5" max="5" width="15.453125" customWidth="1"/>
    <col min="6" max="6" width="20.7265625" customWidth="1"/>
    <col min="7" max="7" width="21.54296875" customWidth="1"/>
  </cols>
  <sheetData>
    <row r="2" spans="1:7" x14ac:dyDescent="0.25">
      <c r="A2" t="s">
        <v>277</v>
      </c>
    </row>
    <row r="5" spans="1:7" x14ac:dyDescent="0.25">
      <c r="A5" t="s">
        <v>140</v>
      </c>
    </row>
    <row r="7" spans="1:7" x14ac:dyDescent="0.25">
      <c r="A7" t="s">
        <v>267</v>
      </c>
      <c r="B7" t="s">
        <v>312</v>
      </c>
      <c r="C7" t="s">
        <v>268</v>
      </c>
      <c r="D7" t="s">
        <v>269</v>
      </c>
      <c r="E7" t="s">
        <v>270</v>
      </c>
      <c r="F7" t="s">
        <v>304</v>
      </c>
      <c r="G7" t="s">
        <v>303</v>
      </c>
    </row>
    <row r="8" spans="1:7" x14ac:dyDescent="0.25">
      <c r="A8">
        <v>21</v>
      </c>
      <c r="B8">
        <f>IF('PRIV-VALID.'!B$69&lt;'Parametri generali'!B$30,0,IF('PRIV-VALID.'!B$69&gt;'Parametri generali'!B$34,'Parametri generali'!B$35,IF('PRIV-VALID.'!B$69-'Parametri generali'!B$31&lt;'Parametri generali'!B$33,'Parametri generali'!B$33,'PRIV-VALID.'!B$69-'Parametri generali'!B$31)))</f>
        <v>0</v>
      </c>
      <c r="C8">
        <v>0</v>
      </c>
      <c r="E8">
        <f>B8*C8*D8</f>
        <v>0</v>
      </c>
      <c r="F8">
        <v>0</v>
      </c>
      <c r="G8">
        <f>F8</f>
        <v>0</v>
      </c>
    </row>
    <row r="9" spans="1:7" x14ac:dyDescent="0.25">
      <c r="A9">
        <v>22</v>
      </c>
      <c r="B9">
        <f>IF('PRIV-VALID.'!B$69&lt;'Parametri generali'!B$30,0,IF('PRIV-VALID.'!B$69&gt;'Parametri generali'!B$34,'Parametri generali'!B$35,IF('PRIV-VALID.'!B$69-'Parametri generali'!B$31&lt;'Parametri generali'!B$33,'Parametri generali'!B$33,'PRIV-VALID.'!B$69-'Parametri generali'!B$31)))</f>
        <v>0</v>
      </c>
      <c r="C9">
        <v>0</v>
      </c>
      <c r="E9">
        <f t="shared" ref="E9:E52" si="0">B9*C9*D9</f>
        <v>0</v>
      </c>
      <c r="F9">
        <v>0</v>
      </c>
      <c r="G9">
        <f>(G8+F9)*101%</f>
        <v>0</v>
      </c>
    </row>
    <row r="10" spans="1:7" x14ac:dyDescent="0.25">
      <c r="A10">
        <v>23</v>
      </c>
      <c r="B10">
        <f>IF('PRIV-VALID.'!B$69&lt;'Parametri generali'!B$30,0,IF('PRIV-VALID.'!B$69&gt;'Parametri generali'!B$34,'Parametri generali'!B$35,IF('PRIV-VALID.'!B$69-'Parametri generali'!B$31&lt;'Parametri generali'!B$33,'Parametri generali'!B$33,'PRIV-VALID.'!B$69-'Parametri generali'!B$31)))</f>
        <v>0</v>
      </c>
      <c r="C10">
        <v>0</v>
      </c>
      <c r="E10">
        <f t="shared" si="0"/>
        <v>0</v>
      </c>
      <c r="F10">
        <v>0</v>
      </c>
      <c r="G10">
        <f t="shared" ref="G10:G52" si="1">(G9+F10)*101%</f>
        <v>0</v>
      </c>
    </row>
    <row r="11" spans="1:7" x14ac:dyDescent="0.25">
      <c r="A11">
        <v>24</v>
      </c>
      <c r="B11">
        <f>IF('PRIV-VALID.'!B$69&lt;'Parametri generali'!B$30,0,IF('PRIV-VALID.'!B$69&gt;'Parametri generali'!B$34,'Parametri generali'!B$35,IF('PRIV-VALID.'!B$69-'Parametri generali'!B$31&lt;'Parametri generali'!B$33,'Parametri generali'!B$33,'PRIV-VALID.'!B$69-'Parametri generali'!B$31)))</f>
        <v>0</v>
      </c>
      <c r="C11">
        <v>0</v>
      </c>
      <c r="E11">
        <f t="shared" si="0"/>
        <v>0</v>
      </c>
      <c r="F11">
        <v>0</v>
      </c>
      <c r="G11">
        <f t="shared" si="1"/>
        <v>0</v>
      </c>
    </row>
    <row r="12" spans="1:7" x14ac:dyDescent="0.25">
      <c r="A12">
        <v>25</v>
      </c>
      <c r="B12">
        <f>IF('PRIV-VALID.'!B$69&lt;'Parametri generali'!B$30,0,IF('PRIV-VALID.'!B$69&gt;'Parametri generali'!B$34,'Parametri generali'!B$35,IF('PRIV-VALID.'!B$69-'Parametri generali'!B$31&lt;'Parametri generali'!B$33,'Parametri generali'!B$33,'PRIV-VALID.'!B$69-'Parametri generali'!B$31)))</f>
        <v>0</v>
      </c>
      <c r="C12">
        <f>IF(A12&lt;'Parametri generali'!$C$9,0,IF(A12&gt;'Parametri generali'!$C$7,0,1))</f>
        <v>0</v>
      </c>
      <c r="D12" s="109">
        <v>7.0000000000000007E-2</v>
      </c>
      <c r="E12">
        <f t="shared" si="0"/>
        <v>0</v>
      </c>
      <c r="F12">
        <f>IF(A12&lt;'Parametri generali'!$C$9,0,B12*D12)</f>
        <v>0</v>
      </c>
      <c r="G12">
        <f t="shared" si="1"/>
        <v>0</v>
      </c>
    </row>
    <row r="13" spans="1:7" x14ac:dyDescent="0.25">
      <c r="A13">
        <v>26</v>
      </c>
      <c r="B13">
        <f>IF('PRIV-VALID.'!B$69&lt;'Parametri generali'!B$30,0,IF('PRIV-VALID.'!B$69&gt;'Parametri generali'!B$34,'Parametri generali'!B$35,IF('PRIV-VALID.'!B$69-'Parametri generali'!B$31&lt;'Parametri generali'!B$33,'Parametri generali'!B$33,'PRIV-VALID.'!B$69-'Parametri generali'!B$31)))</f>
        <v>0</v>
      </c>
      <c r="C13">
        <f>IF(A13&lt;'Parametri generali'!$C$9,0,IF(A13&gt;'Parametri generali'!$C$7,0,1))</f>
        <v>0</v>
      </c>
      <c r="D13" s="109">
        <v>7.0000000000000007E-2</v>
      </c>
      <c r="E13">
        <f t="shared" si="0"/>
        <v>0</v>
      </c>
      <c r="F13">
        <f>IF(A13&lt;'Parametri generali'!$C$9,0,B13*D13)</f>
        <v>0</v>
      </c>
      <c r="G13">
        <f t="shared" si="1"/>
        <v>0</v>
      </c>
    </row>
    <row r="14" spans="1:7" x14ac:dyDescent="0.25">
      <c r="A14">
        <v>27</v>
      </c>
      <c r="B14">
        <f>IF('PRIV-VALID.'!B$69&lt;'Parametri generali'!B$30,0,IF('PRIV-VALID.'!B$69&gt;'Parametri generali'!B$34,'Parametri generali'!B$35,IF('PRIV-VALID.'!B$69-'Parametri generali'!B$31&lt;'Parametri generali'!B$33,'Parametri generali'!B$33,'PRIV-VALID.'!B$69-'Parametri generali'!B$31)))</f>
        <v>0</v>
      </c>
      <c r="C14">
        <f>IF(A14&lt;'Parametri generali'!$C$9,0,IF(A14&gt;'Parametri generali'!$C$7,0,1))</f>
        <v>0</v>
      </c>
      <c r="D14" s="109">
        <v>7.0000000000000007E-2</v>
      </c>
      <c r="E14">
        <f t="shared" si="0"/>
        <v>0</v>
      </c>
      <c r="F14">
        <f>IF(A14&lt;'Parametri generali'!$C$9,0,B14*D14)</f>
        <v>0</v>
      </c>
      <c r="G14">
        <f t="shared" si="1"/>
        <v>0</v>
      </c>
    </row>
    <row r="15" spans="1:7" x14ac:dyDescent="0.25">
      <c r="A15">
        <v>28</v>
      </c>
      <c r="B15">
        <f>IF('PRIV-VALID.'!B$69&lt;'Parametri generali'!B$30,0,IF('PRIV-VALID.'!B$69&gt;'Parametri generali'!B$34,'Parametri generali'!B$35,IF('PRIV-VALID.'!B$69-'Parametri generali'!B$31&lt;'Parametri generali'!B$33,'Parametri generali'!B$33,'PRIV-VALID.'!B$69-'Parametri generali'!B$31)))</f>
        <v>0</v>
      </c>
      <c r="C15">
        <f>IF(A15&lt;'Parametri generali'!$C$9,0,IF(A15&gt;'Parametri generali'!$C$7,0,1))</f>
        <v>0</v>
      </c>
      <c r="D15" s="109">
        <v>7.0000000000000007E-2</v>
      </c>
      <c r="E15">
        <f t="shared" si="0"/>
        <v>0</v>
      </c>
      <c r="F15">
        <f>IF(A15&lt;'Parametri generali'!$C$9,0,B15*D15)</f>
        <v>0</v>
      </c>
      <c r="G15">
        <f t="shared" si="1"/>
        <v>0</v>
      </c>
    </row>
    <row r="16" spans="1:7" x14ac:dyDescent="0.25">
      <c r="A16">
        <v>29</v>
      </c>
      <c r="B16">
        <f>IF('PRIV-VALID.'!B$69&lt;'Parametri generali'!B$30,0,IF('PRIV-VALID.'!B$69&gt;'Parametri generali'!B$34,'Parametri generali'!B$35,IF('PRIV-VALID.'!B$69-'Parametri generali'!B$31&lt;'Parametri generali'!B$33,'Parametri generali'!B$33,'PRIV-VALID.'!B$69-'Parametri generali'!B$31)))</f>
        <v>0</v>
      </c>
      <c r="C16">
        <f>IF(A16&lt;'Parametri generali'!$C$9,0,IF(A16&gt;'Parametri generali'!$C$7,0,1))</f>
        <v>0</v>
      </c>
      <c r="D16" s="109">
        <v>7.0000000000000007E-2</v>
      </c>
      <c r="E16">
        <f t="shared" si="0"/>
        <v>0</v>
      </c>
      <c r="F16">
        <f>IF(A16&lt;'Parametri generali'!$C$9,0,B16*D16)</f>
        <v>0</v>
      </c>
      <c r="G16">
        <f t="shared" si="1"/>
        <v>0</v>
      </c>
    </row>
    <row r="17" spans="1:7" x14ac:dyDescent="0.25">
      <c r="A17">
        <v>30</v>
      </c>
      <c r="B17">
        <f>IF('PRIV-VALID.'!B$69&lt;'Parametri generali'!B$30,0,IF('PRIV-VALID.'!B$69&gt;'Parametri generali'!B$34,'Parametri generali'!B$35,IF('PRIV-VALID.'!B$69-'Parametri generali'!B$31&lt;'Parametri generali'!B$33,'Parametri generali'!B$33,'PRIV-VALID.'!B$69-'Parametri generali'!B$31)))</f>
        <v>0</v>
      </c>
      <c r="C17">
        <f>IF(A17&lt;'Parametri generali'!$C$9,0,IF(A17&gt;'Parametri generali'!$C$7,0,1))</f>
        <v>0</v>
      </c>
      <c r="D17" s="109">
        <v>7.0000000000000007E-2</v>
      </c>
      <c r="E17">
        <f t="shared" si="0"/>
        <v>0</v>
      </c>
      <c r="F17">
        <f>IF(A17&lt;'Parametri generali'!$C$9,0,B17*D17)</f>
        <v>0</v>
      </c>
      <c r="G17">
        <f t="shared" si="1"/>
        <v>0</v>
      </c>
    </row>
    <row r="18" spans="1:7" x14ac:dyDescent="0.25">
      <c r="A18">
        <v>31</v>
      </c>
      <c r="B18">
        <f>IF('PRIV-VALID.'!B$69&lt;'Parametri generali'!B$30,0,IF('PRIV-VALID.'!B$69&gt;'Parametri generali'!B$34,'Parametri generali'!B$35,IF('PRIV-VALID.'!B$69-'Parametri generali'!B$31&lt;'Parametri generali'!B$33,'Parametri generali'!B$33,'PRIV-VALID.'!B$69-'Parametri generali'!B$31)))</f>
        <v>0</v>
      </c>
      <c r="C18">
        <f>IF(A18&lt;'Parametri generali'!$C$9,0,IF(A18&gt;'Parametri generali'!$C$7,0,1))</f>
        <v>0</v>
      </c>
      <c r="D18" s="109">
        <v>7.0000000000000007E-2</v>
      </c>
      <c r="E18">
        <f t="shared" si="0"/>
        <v>0</v>
      </c>
      <c r="F18">
        <f>IF(A18&lt;'Parametri generali'!$C$9,0,B18*D18)</f>
        <v>0</v>
      </c>
      <c r="G18">
        <f t="shared" si="1"/>
        <v>0</v>
      </c>
    </row>
    <row r="19" spans="1:7" x14ac:dyDescent="0.25">
      <c r="A19">
        <v>32</v>
      </c>
      <c r="B19">
        <f>IF('PRIV-VALID.'!B$69&lt;'Parametri generali'!B$30,0,IF('PRIV-VALID.'!B$69&gt;'Parametri generali'!B$34,'Parametri generali'!B$35,IF('PRIV-VALID.'!B$69-'Parametri generali'!B$31&lt;'Parametri generali'!B$33,'Parametri generali'!B$33,'PRIV-VALID.'!B$69-'Parametri generali'!B$31)))</f>
        <v>0</v>
      </c>
      <c r="C19">
        <f>IF(A19&lt;'Parametri generali'!$C$9,0,IF(A19&gt;'Parametri generali'!$C$7,0,1))</f>
        <v>0</v>
      </c>
      <c r="D19" s="109">
        <v>7.0000000000000007E-2</v>
      </c>
      <c r="E19">
        <f t="shared" si="0"/>
        <v>0</v>
      </c>
      <c r="F19">
        <f>IF(A19&lt;'Parametri generali'!$C$9,0,B19*D19)</f>
        <v>0</v>
      </c>
      <c r="G19">
        <f t="shared" si="1"/>
        <v>0</v>
      </c>
    </row>
    <row r="20" spans="1:7" x14ac:dyDescent="0.25">
      <c r="A20">
        <v>33</v>
      </c>
      <c r="B20">
        <f>IF('PRIV-VALID.'!B$69&lt;'Parametri generali'!B$30,0,IF('PRIV-VALID.'!B$69&gt;'Parametri generali'!B$34,'Parametri generali'!B$35,IF('PRIV-VALID.'!B$69-'Parametri generali'!B$31&lt;'Parametri generali'!B$33,'Parametri generali'!B$33,'PRIV-VALID.'!B$69-'Parametri generali'!B$31)))</f>
        <v>0</v>
      </c>
      <c r="C20">
        <f>IF(A20&lt;'Parametri generali'!$C$9,0,IF(A20&gt;'Parametri generali'!$C$7,0,1))</f>
        <v>0</v>
      </c>
      <c r="D20" s="109">
        <v>7.0000000000000007E-2</v>
      </c>
      <c r="E20">
        <f t="shared" si="0"/>
        <v>0</v>
      </c>
      <c r="F20">
        <f>IF(A20&lt;'Parametri generali'!$C$9,0,B20*D20)</f>
        <v>0</v>
      </c>
      <c r="G20">
        <f t="shared" si="1"/>
        <v>0</v>
      </c>
    </row>
    <row r="21" spans="1:7" x14ac:dyDescent="0.25">
      <c r="A21">
        <v>34</v>
      </c>
      <c r="B21">
        <f>IF('PRIV-VALID.'!B$69&lt;'Parametri generali'!B$30,0,IF('PRIV-VALID.'!B$69&gt;'Parametri generali'!B$34,'Parametri generali'!B$35,IF('PRIV-VALID.'!B$69-'Parametri generali'!B$31&lt;'Parametri generali'!B$33,'Parametri generali'!B$33,'PRIV-VALID.'!B$69-'Parametri generali'!B$31)))</f>
        <v>0</v>
      </c>
      <c r="C21">
        <f>IF(A21&lt;'Parametri generali'!$C$9,0,IF(A21&gt;'Parametri generali'!$C$7,0,1))</f>
        <v>0</v>
      </c>
      <c r="D21" s="109">
        <v>7.0000000000000007E-2</v>
      </c>
      <c r="E21">
        <f t="shared" si="0"/>
        <v>0</v>
      </c>
      <c r="F21">
        <f>IF(A21&lt;'Parametri generali'!$C$9,0,B21*D21)</f>
        <v>0</v>
      </c>
      <c r="G21">
        <f t="shared" si="1"/>
        <v>0</v>
      </c>
    </row>
    <row r="22" spans="1:7" x14ac:dyDescent="0.25">
      <c r="A22">
        <v>35</v>
      </c>
      <c r="B22">
        <f>IF('PRIV-VALID.'!B$69&lt;'Parametri generali'!B$30,0,IF('PRIV-VALID.'!B$69&gt;'Parametri generali'!B$34,'Parametri generali'!B$35,IF('PRIV-VALID.'!B$69-'Parametri generali'!B$31&lt;'Parametri generali'!B$33,'Parametri generali'!B$33,'PRIV-VALID.'!B$69-'Parametri generali'!B$31)))</f>
        <v>0</v>
      </c>
      <c r="C22">
        <f>IF(A22&lt;'Parametri generali'!$C$9,0,IF(A22&gt;'Parametri generali'!$C$7,0,1))</f>
        <v>0</v>
      </c>
      <c r="D22" s="109">
        <v>0.1</v>
      </c>
      <c r="E22">
        <f t="shared" si="0"/>
        <v>0</v>
      </c>
      <c r="F22">
        <f>IF(A22&lt;'Parametri generali'!$C$9,0,B22*D22)</f>
        <v>0</v>
      </c>
      <c r="G22">
        <f t="shared" si="1"/>
        <v>0</v>
      </c>
    </row>
    <row r="23" spans="1:7" x14ac:dyDescent="0.25">
      <c r="A23">
        <v>36</v>
      </c>
      <c r="B23">
        <f>IF('PRIV-VALID.'!B$69&lt;'Parametri generali'!B$30,0,IF('PRIV-VALID.'!B$69&gt;'Parametri generali'!B$34,'Parametri generali'!B$35,IF('PRIV-VALID.'!B$69-'Parametri generali'!B$31&lt;'Parametri generali'!B$33,'Parametri generali'!B$33,'PRIV-VALID.'!B$69-'Parametri generali'!B$31)))</f>
        <v>0</v>
      </c>
      <c r="C23">
        <f>IF(A23&lt;'Parametri generali'!$C$9,0,IF(A23&gt;'Parametri generali'!$C$7,0,1))</f>
        <v>0</v>
      </c>
      <c r="D23" s="109">
        <v>0.1</v>
      </c>
      <c r="E23">
        <f t="shared" si="0"/>
        <v>0</v>
      </c>
      <c r="F23">
        <f>IF(A23&lt;'Parametri generali'!$C$9,0,B23*D23)</f>
        <v>0</v>
      </c>
      <c r="G23">
        <f t="shared" si="1"/>
        <v>0</v>
      </c>
    </row>
    <row r="24" spans="1:7" x14ac:dyDescent="0.25">
      <c r="A24">
        <v>37</v>
      </c>
      <c r="B24">
        <f>IF('PRIV-VALID.'!B$69&lt;'Parametri generali'!B$30,0,IF('PRIV-VALID.'!B$69&gt;'Parametri generali'!B$34,'Parametri generali'!B$35,IF('PRIV-VALID.'!B$69-'Parametri generali'!B$31&lt;'Parametri generali'!B$33,'Parametri generali'!B$33,'PRIV-VALID.'!B$69-'Parametri generali'!B$31)))</f>
        <v>0</v>
      </c>
      <c r="C24">
        <f>IF(A24&lt;'Parametri generali'!$C$9,0,IF(A24&gt;'Parametri generali'!$C$7,0,1))</f>
        <v>0</v>
      </c>
      <c r="D24" s="109">
        <v>0.1</v>
      </c>
      <c r="E24">
        <f t="shared" si="0"/>
        <v>0</v>
      </c>
      <c r="F24">
        <f>IF(A24&lt;'Parametri generali'!$C$9,0,B24*D24)</f>
        <v>0</v>
      </c>
      <c r="G24">
        <f t="shared" si="1"/>
        <v>0</v>
      </c>
    </row>
    <row r="25" spans="1:7" x14ac:dyDescent="0.25">
      <c r="A25">
        <v>38</v>
      </c>
      <c r="B25">
        <f>IF('PRIV-VALID.'!B$69&lt;'Parametri generali'!B$30,0,IF('PRIV-VALID.'!B$69&gt;'Parametri generali'!B$34,'Parametri generali'!B$35,IF('PRIV-VALID.'!B$69-'Parametri generali'!B$31&lt;'Parametri generali'!B$33,'Parametri generali'!B$33,'PRIV-VALID.'!B$69-'Parametri generali'!B$31)))</f>
        <v>0</v>
      </c>
      <c r="C25">
        <f>IF(A25&lt;'Parametri generali'!$C$9,0,IF(A25&gt;'Parametri generali'!$C$7,0,1))</f>
        <v>0</v>
      </c>
      <c r="D25" s="109">
        <v>0.1</v>
      </c>
      <c r="E25">
        <f t="shared" si="0"/>
        <v>0</v>
      </c>
      <c r="F25">
        <f>IF(A25&lt;'Parametri generali'!$C$9,0,B25*D25)</f>
        <v>0</v>
      </c>
      <c r="G25">
        <f t="shared" si="1"/>
        <v>0</v>
      </c>
    </row>
    <row r="26" spans="1:7" x14ac:dyDescent="0.25">
      <c r="A26">
        <v>39</v>
      </c>
      <c r="B26">
        <f>IF('PRIV-VALID.'!B$69&lt;'Parametri generali'!B$30,0,IF('PRIV-VALID.'!B$69&gt;'Parametri generali'!B$34,'Parametri generali'!B$35,IF('PRIV-VALID.'!B$69-'Parametri generali'!B$31&lt;'Parametri generali'!B$33,'Parametri generali'!B$33,'PRIV-VALID.'!B$69-'Parametri generali'!B$31)))</f>
        <v>0</v>
      </c>
      <c r="C26">
        <f>IF(A26&lt;'Parametri generali'!$C$9,0,IF(A26&gt;'Parametri generali'!$C$7,0,1))</f>
        <v>0</v>
      </c>
      <c r="D26" s="109">
        <v>0.1</v>
      </c>
      <c r="E26">
        <f t="shared" si="0"/>
        <v>0</v>
      </c>
      <c r="F26">
        <f>IF(A26&lt;'Parametri generali'!$C$9,0,B26*D26)</f>
        <v>0</v>
      </c>
      <c r="G26">
        <f t="shared" si="1"/>
        <v>0</v>
      </c>
    </row>
    <row r="27" spans="1:7" x14ac:dyDescent="0.25">
      <c r="A27">
        <v>40</v>
      </c>
      <c r="B27">
        <f>IF('PRIV-VALID.'!B$69&lt;'Parametri generali'!B$30,0,IF('PRIV-VALID.'!B$69&gt;'Parametri generali'!B$34,'Parametri generali'!B$35,IF('PRIV-VALID.'!B$69-'Parametri generali'!B$31&lt;'Parametri generali'!B$33,'Parametri generali'!B$33,'PRIV-VALID.'!B$69-'Parametri generali'!B$31)))</f>
        <v>0</v>
      </c>
      <c r="C27">
        <f>IF(A27&lt;'Parametri generali'!$C$9,0,IF(A27&gt;'Parametri generali'!$C$7,0,1))</f>
        <v>0</v>
      </c>
      <c r="D27" s="109">
        <v>0.1</v>
      </c>
      <c r="E27">
        <f t="shared" si="0"/>
        <v>0</v>
      </c>
      <c r="F27">
        <f>IF(A27&lt;'Parametri generali'!$C$9,0,B27*D27)</f>
        <v>0</v>
      </c>
      <c r="G27">
        <f t="shared" si="1"/>
        <v>0</v>
      </c>
    </row>
    <row r="28" spans="1:7" x14ac:dyDescent="0.25">
      <c r="A28">
        <v>41</v>
      </c>
      <c r="B28">
        <f>IF('PRIV-VALID.'!B$69&lt;'Parametri generali'!B$30,0,IF('PRIV-VALID.'!B$69&gt;'Parametri generali'!B$34,'Parametri generali'!B$35,IF('PRIV-VALID.'!B$69-'Parametri generali'!B$31&lt;'Parametri generali'!B$33,'Parametri generali'!B$33,'PRIV-VALID.'!B$69-'Parametri generali'!B$31)))</f>
        <v>0</v>
      </c>
      <c r="C28">
        <f>IF(A28&lt;'Parametri generali'!$C$9,0,IF(A28&gt;'Parametri generali'!$C$7,0,1))</f>
        <v>0</v>
      </c>
      <c r="D28" s="109">
        <v>0.1</v>
      </c>
      <c r="E28">
        <f t="shared" si="0"/>
        <v>0</v>
      </c>
      <c r="F28">
        <f>IF(A28&lt;'Parametri generali'!$C$9,0,B28*D28)</f>
        <v>0</v>
      </c>
      <c r="G28">
        <f t="shared" si="1"/>
        <v>0</v>
      </c>
    </row>
    <row r="29" spans="1:7" x14ac:dyDescent="0.25">
      <c r="A29">
        <v>42</v>
      </c>
      <c r="B29">
        <f>IF('PRIV-VALID.'!B$69&lt;'Parametri generali'!B$30,0,IF('PRIV-VALID.'!B$69&gt;'Parametri generali'!B$34,'Parametri generali'!B$35,IF('PRIV-VALID.'!B$69-'Parametri generali'!B$31&lt;'Parametri generali'!B$33,'Parametri generali'!B$33,'PRIV-VALID.'!B$69-'Parametri generali'!B$31)))</f>
        <v>0</v>
      </c>
      <c r="C29">
        <f>IF(A29&lt;'Parametri generali'!$C$9,0,IF(A29&gt;'Parametri generali'!$C$7,0,1))</f>
        <v>0</v>
      </c>
      <c r="D29" s="109">
        <v>0.1</v>
      </c>
      <c r="E29">
        <f t="shared" si="0"/>
        <v>0</v>
      </c>
      <c r="F29">
        <f>IF(A29&lt;'Parametri generali'!$C$9,0,B29*D29)</f>
        <v>0</v>
      </c>
      <c r="G29">
        <f t="shared" si="1"/>
        <v>0</v>
      </c>
    </row>
    <row r="30" spans="1:7" x14ac:dyDescent="0.25">
      <c r="A30">
        <v>43</v>
      </c>
      <c r="B30">
        <f>IF('PRIV-VALID.'!B$69&lt;'Parametri generali'!B$30,0,IF('PRIV-VALID.'!B$69&gt;'Parametri generali'!B$34,'Parametri generali'!B$35,IF('PRIV-VALID.'!B$69-'Parametri generali'!B$31&lt;'Parametri generali'!B$33,'Parametri generali'!B$33,'PRIV-VALID.'!B$69-'Parametri generali'!B$31)))</f>
        <v>0</v>
      </c>
      <c r="C30">
        <f>IF(A30&lt;'Parametri generali'!$C$9,0,IF(A30&gt;'Parametri generali'!$C$7,0,1))</f>
        <v>0</v>
      </c>
      <c r="D30" s="109">
        <v>0.1</v>
      </c>
      <c r="E30">
        <f t="shared" si="0"/>
        <v>0</v>
      </c>
      <c r="F30">
        <f>IF(A30&lt;'Parametri generali'!$C$9,0,B30*D30)</f>
        <v>0</v>
      </c>
      <c r="G30">
        <f t="shared" si="1"/>
        <v>0</v>
      </c>
    </row>
    <row r="31" spans="1:7" x14ac:dyDescent="0.25">
      <c r="A31">
        <v>44</v>
      </c>
      <c r="B31">
        <f>IF('PRIV-VALID.'!B$69&lt;'Parametri generali'!B$30,0,IF('PRIV-VALID.'!B$69&gt;'Parametri generali'!B$34,'Parametri generali'!B$35,IF('PRIV-VALID.'!B$69-'Parametri generali'!B$31&lt;'Parametri generali'!B$33,'Parametri generali'!B$33,'PRIV-VALID.'!B$69-'Parametri generali'!B$31)))</f>
        <v>0</v>
      </c>
      <c r="C31">
        <f>IF(A31&lt;'Parametri generali'!$C$9,0,IF(A31&gt;'Parametri generali'!$C$7,0,1))</f>
        <v>0</v>
      </c>
      <c r="D31" s="109">
        <v>0.1</v>
      </c>
      <c r="E31">
        <f t="shared" si="0"/>
        <v>0</v>
      </c>
      <c r="F31">
        <f>IF(A31&lt;'Parametri generali'!$C$9,0,B31*D31)</f>
        <v>0</v>
      </c>
      <c r="G31">
        <f t="shared" si="1"/>
        <v>0</v>
      </c>
    </row>
    <row r="32" spans="1:7" x14ac:dyDescent="0.25">
      <c r="A32">
        <v>45</v>
      </c>
      <c r="B32">
        <f>IF('PRIV-VALID.'!B$69&lt;'Parametri generali'!B$30,0,IF('PRIV-VALID.'!B$69&gt;'Parametri generali'!B$34,'Parametri generali'!B$35,IF('PRIV-VALID.'!B$69-'Parametri generali'!B$31&lt;'Parametri generali'!B$33,'Parametri generali'!B$33,'PRIV-VALID.'!B$69-'Parametri generali'!B$31)))</f>
        <v>0</v>
      </c>
      <c r="C32">
        <f>IF(A32&lt;'Parametri generali'!$C$9,0,IF(A32&gt;'Parametri generali'!$C$7,0,1))</f>
        <v>0</v>
      </c>
      <c r="D32" s="109">
        <v>0.15</v>
      </c>
      <c r="E32">
        <f t="shared" si="0"/>
        <v>0</v>
      </c>
      <c r="F32">
        <f>IF(A32&lt;'Parametri generali'!$C$9,0,B32*D32)</f>
        <v>0</v>
      </c>
      <c r="G32">
        <f t="shared" si="1"/>
        <v>0</v>
      </c>
    </row>
    <row r="33" spans="1:7" x14ac:dyDescent="0.25">
      <c r="A33">
        <v>46</v>
      </c>
      <c r="B33">
        <f>IF('PRIV-VALID.'!B$69&lt;'Parametri generali'!B$30,0,IF('PRIV-VALID.'!B$69&gt;'Parametri generali'!B$34,'Parametri generali'!B$35,IF('PRIV-VALID.'!B$69-'Parametri generali'!B$31&lt;'Parametri generali'!B$33,'Parametri generali'!B$33,'PRIV-VALID.'!B$69-'Parametri generali'!B$31)))</f>
        <v>0</v>
      </c>
      <c r="C33">
        <f>IF(A33&lt;'Parametri generali'!$C$9,0,IF(A33&gt;'Parametri generali'!$C$7,0,1))</f>
        <v>0</v>
      </c>
      <c r="D33" s="109">
        <v>0.15</v>
      </c>
      <c r="E33">
        <f t="shared" si="0"/>
        <v>0</v>
      </c>
      <c r="F33">
        <f>IF(A33&lt;'Parametri generali'!$C$9,0,B33*D33)</f>
        <v>0</v>
      </c>
      <c r="G33">
        <f t="shared" si="1"/>
        <v>0</v>
      </c>
    </row>
    <row r="34" spans="1:7" x14ac:dyDescent="0.25">
      <c r="A34">
        <v>47</v>
      </c>
      <c r="B34">
        <f>IF('PRIV-VALID.'!B$69&lt;'Parametri generali'!B$30,0,IF('PRIV-VALID.'!B$69&gt;'Parametri generali'!B$34,'Parametri generali'!B$35,IF('PRIV-VALID.'!B$69-'Parametri generali'!B$31&lt;'Parametri generali'!B$33,'Parametri generali'!B$33,'PRIV-VALID.'!B$69-'Parametri generali'!B$31)))</f>
        <v>0</v>
      </c>
      <c r="C34">
        <f>IF(A34&lt;'Parametri generali'!$C$9,0,IF(A34&gt;'Parametri generali'!$C$7,0,1))</f>
        <v>0</v>
      </c>
      <c r="D34" s="109">
        <v>0.15</v>
      </c>
      <c r="E34">
        <f t="shared" si="0"/>
        <v>0</v>
      </c>
      <c r="F34">
        <f>IF(A34&lt;'Parametri generali'!$C$9,0,B34*D34)</f>
        <v>0</v>
      </c>
      <c r="G34">
        <f t="shared" si="1"/>
        <v>0</v>
      </c>
    </row>
    <row r="35" spans="1:7" x14ac:dyDescent="0.25">
      <c r="A35">
        <v>48</v>
      </c>
      <c r="B35">
        <f>IF('PRIV-VALID.'!B$69&lt;'Parametri generali'!B$30,0,IF('PRIV-VALID.'!B$69&gt;'Parametri generali'!B$34,'Parametri generali'!B$35,IF('PRIV-VALID.'!B$69-'Parametri generali'!B$31&lt;'Parametri generali'!B$33,'Parametri generali'!B$33,'PRIV-VALID.'!B$69-'Parametri generali'!B$31)))</f>
        <v>0</v>
      </c>
      <c r="C35">
        <f>IF(A35&lt;'Parametri generali'!$C$9,0,IF(A35&gt;'Parametri generali'!$C$7,0,1))</f>
        <v>0</v>
      </c>
      <c r="D35" s="109">
        <v>0.15</v>
      </c>
      <c r="E35">
        <f t="shared" si="0"/>
        <v>0</v>
      </c>
      <c r="F35">
        <f>IF(A35&lt;'Parametri generali'!$C$9,0,B35*D35)</f>
        <v>0</v>
      </c>
      <c r="G35">
        <f t="shared" si="1"/>
        <v>0</v>
      </c>
    </row>
    <row r="36" spans="1:7" x14ac:dyDescent="0.25">
      <c r="A36">
        <v>49</v>
      </c>
      <c r="B36">
        <f>IF('PRIV-VALID.'!B$69&lt;'Parametri generali'!B$30,0,IF('PRIV-VALID.'!B$69&gt;'Parametri generali'!B$34,'Parametri generali'!B$35,IF('PRIV-VALID.'!B$69-'Parametri generali'!B$31&lt;'Parametri generali'!B$33,'Parametri generali'!B$33,'PRIV-VALID.'!B$69-'Parametri generali'!B$31)))</f>
        <v>0</v>
      </c>
      <c r="C36">
        <f>IF(A36&lt;'Parametri generali'!$C$9,0,IF(A36&gt;'Parametri generali'!$C$7,0,1))</f>
        <v>0</v>
      </c>
      <c r="D36" s="109">
        <v>0.15</v>
      </c>
      <c r="E36">
        <f t="shared" si="0"/>
        <v>0</v>
      </c>
      <c r="F36">
        <f>IF(A36&lt;'Parametri generali'!$C$9,0,B36*D36)</f>
        <v>0</v>
      </c>
      <c r="G36">
        <f t="shared" si="1"/>
        <v>0</v>
      </c>
    </row>
    <row r="37" spans="1:7" x14ac:dyDescent="0.25">
      <c r="A37">
        <v>50</v>
      </c>
      <c r="B37">
        <f>IF('PRIV-VALID.'!B$69&lt;'Parametri generali'!B$30,0,IF('PRIV-VALID.'!B$69&gt;'Parametri generali'!B$34,'Parametri generali'!B$35,IF('PRIV-VALID.'!B$69-'Parametri generali'!B$31&lt;'Parametri generali'!B$33,'Parametri generali'!B$33,'PRIV-VALID.'!B$69-'Parametri generali'!B$31)))</f>
        <v>0</v>
      </c>
      <c r="C37">
        <f>IF(A37&lt;'Parametri generali'!$C$9,0,IF(A37&gt;'Parametri generali'!$C$7,0,1))</f>
        <v>0</v>
      </c>
      <c r="D37" s="109">
        <v>0.15</v>
      </c>
      <c r="E37">
        <f t="shared" si="0"/>
        <v>0</v>
      </c>
      <c r="F37">
        <f>IF(A37&lt;'Parametri generali'!$C$9,0,B37*D37)</f>
        <v>0</v>
      </c>
      <c r="G37">
        <f t="shared" si="1"/>
        <v>0</v>
      </c>
    </row>
    <row r="38" spans="1:7" x14ac:dyDescent="0.25">
      <c r="A38">
        <v>51</v>
      </c>
      <c r="B38">
        <f>IF('PRIV-VALID.'!B$69&lt;'Parametri generali'!B$30,0,IF('PRIV-VALID.'!B$69&gt;'Parametri generali'!B$34,'Parametri generali'!B$35,IF('PRIV-VALID.'!B$69-'Parametri generali'!B$31&lt;'Parametri generali'!B$33,'Parametri generali'!B$33,'PRIV-VALID.'!B$69-'Parametri generali'!B$31)))</f>
        <v>0</v>
      </c>
      <c r="C38">
        <f>IF(A38&lt;'Parametri generali'!$C$9,0,IF(A38&gt;'Parametri generali'!$C$7,0,1))</f>
        <v>0</v>
      </c>
      <c r="D38" s="109">
        <v>0.15</v>
      </c>
      <c r="E38">
        <f t="shared" si="0"/>
        <v>0</v>
      </c>
      <c r="F38">
        <f>IF(A38&lt;'Parametri generali'!$C$9,0,B38*D38)</f>
        <v>0</v>
      </c>
      <c r="G38">
        <f t="shared" si="1"/>
        <v>0</v>
      </c>
    </row>
    <row r="39" spans="1:7" x14ac:dyDescent="0.25">
      <c r="A39">
        <v>52</v>
      </c>
      <c r="B39">
        <f>IF('PRIV-VALID.'!B$69&lt;'Parametri generali'!B$30,0,IF('PRIV-VALID.'!B$69&gt;'Parametri generali'!B$34,'Parametri generali'!B$35,IF('PRIV-VALID.'!B$69-'Parametri generali'!B$31&lt;'Parametri generali'!B$33,'Parametri generali'!B$33,'PRIV-VALID.'!B$69-'Parametri generali'!B$31)))</f>
        <v>0</v>
      </c>
      <c r="C39">
        <f>IF(A39&lt;'Parametri generali'!$C$9,0,IF(A39&gt;'Parametri generali'!$C$7,0,1))</f>
        <v>0</v>
      </c>
      <c r="D39" s="109">
        <v>0.15</v>
      </c>
      <c r="E39">
        <f t="shared" si="0"/>
        <v>0</v>
      </c>
      <c r="F39">
        <f>IF(A39&lt;'Parametri generali'!$C$9,0,B39*D39)</f>
        <v>0</v>
      </c>
      <c r="G39">
        <f>(G38+F39)*101%</f>
        <v>0</v>
      </c>
    </row>
    <row r="40" spans="1:7" x14ac:dyDescent="0.25">
      <c r="A40">
        <v>53</v>
      </c>
      <c r="B40">
        <f>IF('PRIV-VALID.'!B$69&lt;'Parametri generali'!B$30,0,IF('PRIV-VALID.'!B$69&gt;'Parametri generali'!B$34,'Parametri generali'!B$35,IF('PRIV-VALID.'!B$69-'Parametri generali'!B$31&lt;'Parametri generali'!B$33,'Parametri generali'!B$33,'PRIV-VALID.'!B$69-'Parametri generali'!B$31)))</f>
        <v>0</v>
      </c>
      <c r="C40">
        <f>IF(A40&lt;'Parametri generali'!$C$9,0,IF(A40&gt;'Parametri generali'!$C$7,0,1))</f>
        <v>0</v>
      </c>
      <c r="D40" s="109">
        <v>0.15</v>
      </c>
      <c r="E40">
        <f t="shared" si="0"/>
        <v>0</v>
      </c>
      <c r="F40">
        <f>IF(A40&lt;'Parametri generali'!$C$9,0,B40*D40)</f>
        <v>0</v>
      </c>
      <c r="G40">
        <f t="shared" si="1"/>
        <v>0</v>
      </c>
    </row>
    <row r="41" spans="1:7" x14ac:dyDescent="0.25">
      <c r="A41">
        <v>54</v>
      </c>
      <c r="B41">
        <f>IF('PRIV-VALID.'!B$69&lt;'Parametri generali'!B$30,0,IF('PRIV-VALID.'!B$69&gt;'Parametri generali'!B$34,'Parametri generali'!B$35,IF('PRIV-VALID.'!B$69-'Parametri generali'!B$31&lt;'Parametri generali'!B$33,'Parametri generali'!B$33,'PRIV-VALID.'!B$69-'Parametri generali'!B$31)))</f>
        <v>0</v>
      </c>
      <c r="C41">
        <f>IF(A41&lt;'Parametri generali'!$C$9,0,IF(A41&gt;'Parametri generali'!$C$7,0,1))</f>
        <v>0</v>
      </c>
      <c r="D41" s="109">
        <v>0.15</v>
      </c>
      <c r="E41">
        <f t="shared" si="0"/>
        <v>0</v>
      </c>
      <c r="F41">
        <f>IF(A41&lt;'Parametri generali'!$C$9,0,B41*D41)</f>
        <v>0</v>
      </c>
      <c r="G41">
        <f t="shared" si="1"/>
        <v>0</v>
      </c>
    </row>
    <row r="42" spans="1:7" x14ac:dyDescent="0.25">
      <c r="A42">
        <v>55</v>
      </c>
      <c r="B42">
        <f>IF('PRIV-VALID.'!B$69&lt;'Parametri generali'!B$30,0,IF('PRIV-VALID.'!B$69&gt;'Parametri generali'!B$34,'Parametri generali'!B$35,IF('PRIV-VALID.'!B$69-'Parametri generali'!B$31&lt;'Parametri generali'!B$33,'Parametri generali'!B$33,'PRIV-VALID.'!B$69-'Parametri generali'!B$31)))</f>
        <v>0</v>
      </c>
      <c r="C42">
        <f>IF(A42&lt;'Parametri generali'!$C$9,0,IF(A42&gt;'Parametri generali'!$C$7,0,1))</f>
        <v>0</v>
      </c>
      <c r="D42" s="109">
        <v>0.18</v>
      </c>
      <c r="E42">
        <f t="shared" si="0"/>
        <v>0</v>
      </c>
      <c r="F42">
        <f>IF(A42&lt;'Parametri generali'!$C$9,0,B42*D42)</f>
        <v>0</v>
      </c>
      <c r="G42">
        <f t="shared" si="1"/>
        <v>0</v>
      </c>
    </row>
    <row r="43" spans="1:7" x14ac:dyDescent="0.25">
      <c r="A43">
        <v>56</v>
      </c>
      <c r="B43">
        <f>IF('PRIV-VALID.'!B$69&lt;'Parametri generali'!B$30,0,IF('PRIV-VALID.'!B$69&gt;'Parametri generali'!B$34,'Parametri generali'!B$35,IF('PRIV-VALID.'!B$69-'Parametri generali'!B$31&lt;'Parametri generali'!B$33,'Parametri generali'!B$33,'PRIV-VALID.'!B$69-'Parametri generali'!B$31)))</f>
        <v>0</v>
      </c>
      <c r="C43">
        <f>IF(A43&lt;'Parametri generali'!$C$9,0,IF(A43&gt;'Parametri generali'!$C$7,0,1))</f>
        <v>0</v>
      </c>
      <c r="D43" s="109">
        <v>0.18</v>
      </c>
      <c r="E43">
        <f t="shared" si="0"/>
        <v>0</v>
      </c>
      <c r="F43">
        <f>IF(A43&lt;'Parametri generali'!$C$9,0,B43*D43)</f>
        <v>0</v>
      </c>
      <c r="G43">
        <f t="shared" si="1"/>
        <v>0</v>
      </c>
    </row>
    <row r="44" spans="1:7" x14ac:dyDescent="0.25">
      <c r="A44">
        <v>57</v>
      </c>
      <c r="B44">
        <f>IF('PRIV-VALID.'!B$69&lt;'Parametri generali'!B$30,0,IF('PRIV-VALID.'!B$69&gt;'Parametri generali'!B$34,'Parametri generali'!B$35,IF('PRIV-VALID.'!B$69-'Parametri generali'!B$31&lt;'Parametri generali'!B$33,'Parametri generali'!B$33,'PRIV-VALID.'!B$69-'Parametri generali'!B$31)))</f>
        <v>0</v>
      </c>
      <c r="C44">
        <f>IF(A44&lt;'Parametri generali'!$C$9,0,IF(A44&gt;'Parametri generali'!$C$7,0,1))</f>
        <v>0</v>
      </c>
      <c r="D44" s="109">
        <v>0.18</v>
      </c>
      <c r="E44">
        <f t="shared" si="0"/>
        <v>0</v>
      </c>
      <c r="F44">
        <f>IF(A44&lt;'Parametri generali'!$C$9,0,B44*D44)</f>
        <v>0</v>
      </c>
      <c r="G44">
        <f t="shared" si="1"/>
        <v>0</v>
      </c>
    </row>
    <row r="45" spans="1:7" x14ac:dyDescent="0.25">
      <c r="A45">
        <v>58</v>
      </c>
      <c r="B45">
        <f>IF('PRIV-VALID.'!B$69&lt;'Parametri generali'!B$30,0,IF('PRIV-VALID.'!B$69&gt;'Parametri generali'!B$34,'Parametri generali'!B$35,IF('PRIV-VALID.'!B$69-'Parametri generali'!B$31&lt;'Parametri generali'!B$33,'Parametri generali'!B$33,'PRIV-VALID.'!B$69-'Parametri generali'!B$31)))</f>
        <v>0</v>
      </c>
      <c r="C45">
        <f>IF(A45&lt;'Parametri generali'!$C$9,0,IF(A45&gt;'Parametri generali'!$C$7,0,1))</f>
        <v>0</v>
      </c>
      <c r="D45" s="109">
        <v>0.18</v>
      </c>
      <c r="E45">
        <f t="shared" si="0"/>
        <v>0</v>
      </c>
      <c r="F45">
        <f>IF(A45&lt;'Parametri generali'!$C$9,0,B45*D45)</f>
        <v>0</v>
      </c>
      <c r="G45">
        <f t="shared" si="1"/>
        <v>0</v>
      </c>
    </row>
    <row r="46" spans="1:7" x14ac:dyDescent="0.25">
      <c r="A46">
        <v>59</v>
      </c>
      <c r="B46">
        <f>IF('PRIV-VALID.'!B$69&lt;'Parametri generali'!B$30,0,IF('PRIV-VALID.'!B$69&gt;'Parametri generali'!B$34,'Parametri generali'!B$35,IF('PRIV-VALID.'!B$69-'Parametri generali'!B$31&lt;'Parametri generali'!B$33,'Parametri generali'!B$33,'PRIV-VALID.'!B$69-'Parametri generali'!B$31)))</f>
        <v>0</v>
      </c>
      <c r="C46">
        <f>IF(A46&lt;'Parametri generali'!$C$9,0,IF(A46&gt;'Parametri generali'!$C$7,0,1))</f>
        <v>0</v>
      </c>
      <c r="D46" s="109">
        <v>0.18</v>
      </c>
      <c r="E46">
        <f t="shared" si="0"/>
        <v>0</v>
      </c>
      <c r="F46">
        <f>IF(A46&lt;'Parametri generali'!$C$9,0,B46*D46)</f>
        <v>0</v>
      </c>
      <c r="G46">
        <f t="shared" si="1"/>
        <v>0</v>
      </c>
    </row>
    <row r="47" spans="1:7" x14ac:dyDescent="0.25">
      <c r="A47">
        <v>60</v>
      </c>
      <c r="B47">
        <f>IF('PRIV-VALID.'!B$69&lt;'Parametri generali'!B$30,0,IF('PRIV-VALID.'!B$69&gt;'Parametri generali'!B$34,'Parametri generali'!B$35,IF('PRIV-VALID.'!B$69-'Parametri generali'!B$31&lt;'Parametri generali'!B$33,'Parametri generali'!B$33,'PRIV-VALID.'!B$69-'Parametri generali'!B$31)))</f>
        <v>0</v>
      </c>
      <c r="C47">
        <f>IF(A47&lt;'Parametri generali'!$C$9,0,IF(A47&gt;'Parametri generali'!$C$7,0,1))</f>
        <v>0</v>
      </c>
      <c r="D47" s="109">
        <v>0.18</v>
      </c>
      <c r="E47">
        <f t="shared" si="0"/>
        <v>0</v>
      </c>
      <c r="F47">
        <f>IF(A47&lt;'Parametri generali'!$C$9,0,B47*D47)</f>
        <v>0</v>
      </c>
      <c r="G47">
        <f t="shared" si="1"/>
        <v>0</v>
      </c>
    </row>
    <row r="48" spans="1:7" x14ac:dyDescent="0.25">
      <c r="A48">
        <v>61</v>
      </c>
      <c r="B48">
        <f>IF('PRIV-VALID.'!B$69&lt;'Parametri generali'!B$30,0,IF('PRIV-VALID.'!B$69&gt;'Parametri generali'!B$34,'Parametri generali'!B$35,IF('PRIV-VALID.'!B$69-'Parametri generali'!B$31&lt;'Parametri generali'!B$33,'Parametri generali'!B$33,'PRIV-VALID.'!B$69-'Parametri generali'!B$31)))</f>
        <v>0</v>
      </c>
      <c r="C48">
        <f>IF(A48&lt;'Parametri generali'!$C$9,0,IF(A48&gt;'Parametri generali'!$C$7,0,1))</f>
        <v>0</v>
      </c>
      <c r="D48" s="109">
        <v>0.18</v>
      </c>
      <c r="E48">
        <f t="shared" si="0"/>
        <v>0</v>
      </c>
      <c r="F48">
        <f>IF(A48&lt;'Parametri generali'!$C$9,0,B48*D48)</f>
        <v>0</v>
      </c>
      <c r="G48">
        <f t="shared" si="1"/>
        <v>0</v>
      </c>
    </row>
    <row r="49" spans="1:7" x14ac:dyDescent="0.25">
      <c r="A49">
        <v>62</v>
      </c>
      <c r="B49">
        <f>IF('PRIV-VALID.'!B$69&lt;'Parametri generali'!B$30,0,IF('PRIV-VALID.'!B$69&gt;'Parametri generali'!B$34,'Parametri generali'!B$35,IF('PRIV-VALID.'!B$69-'Parametri generali'!B$31&lt;'Parametri generali'!B$33,'Parametri generali'!B$33,'PRIV-VALID.'!B$69-'Parametri generali'!B$31)))</f>
        <v>0</v>
      </c>
      <c r="C49">
        <f>IF(A49&lt;'Parametri generali'!$C$9,0,IF(A49&gt;'Parametri generali'!$C$7,0,1))</f>
        <v>0</v>
      </c>
      <c r="D49" s="109">
        <v>0.18</v>
      </c>
      <c r="E49">
        <f t="shared" si="0"/>
        <v>0</v>
      </c>
      <c r="F49">
        <f>IF(A49&lt;'Parametri generali'!$C$9,0,B49*D49)</f>
        <v>0</v>
      </c>
      <c r="G49">
        <f t="shared" si="1"/>
        <v>0</v>
      </c>
    </row>
    <row r="50" spans="1:7" x14ac:dyDescent="0.25">
      <c r="A50">
        <v>63</v>
      </c>
      <c r="B50">
        <f>IF('PRIV-VALID.'!B$69&lt;'Parametri generali'!B$30,0,IF('PRIV-VALID.'!B$69&gt;'Parametri generali'!B$34,'Parametri generali'!B$35,IF('PRIV-VALID.'!B$69-'Parametri generali'!B$31&lt;'Parametri generali'!B$33,'Parametri generali'!B$33,'PRIV-VALID.'!B$69-'Parametri generali'!B$31)))</f>
        <v>0</v>
      </c>
      <c r="C50">
        <f>IF(A50&lt;'Parametri generali'!$C$9,0,IF(A50&gt;'Parametri generali'!$C$7,0,1))</f>
        <v>0</v>
      </c>
      <c r="D50" s="109">
        <v>0.18</v>
      </c>
      <c r="E50">
        <f t="shared" si="0"/>
        <v>0</v>
      </c>
      <c r="F50">
        <f>IF(A50&lt;'Parametri generali'!$C$9,0,B50*D50)</f>
        <v>0</v>
      </c>
      <c r="G50">
        <f t="shared" si="1"/>
        <v>0</v>
      </c>
    </row>
    <row r="51" spans="1:7" x14ac:dyDescent="0.25">
      <c r="A51">
        <v>64</v>
      </c>
      <c r="B51">
        <f>IF('PRIV-VALID.'!B$69&lt;'Parametri generali'!B$30,0,IF('PRIV-VALID.'!B$69&gt;'Parametri generali'!B$34,'Parametri generali'!B$35,IF('PRIV-VALID.'!B$69-'Parametri generali'!B$31&lt;'Parametri generali'!B$33,'Parametri generali'!B$33,'PRIV-VALID.'!B$69-'Parametri generali'!B$31)))</f>
        <v>0</v>
      </c>
      <c r="C51">
        <f>IF(A51&lt;'Parametri generali'!$C$9,0,IF(A51&gt;'Parametri generali'!$C$7,0,1))</f>
        <v>0</v>
      </c>
      <c r="D51" s="109">
        <v>0.18</v>
      </c>
      <c r="E51">
        <f t="shared" si="0"/>
        <v>0</v>
      </c>
      <c r="F51">
        <f>IF(A51&lt;'Parametri generali'!$C$9,0,B51*D51)</f>
        <v>0</v>
      </c>
      <c r="G51">
        <f t="shared" si="1"/>
        <v>0</v>
      </c>
    </row>
    <row r="52" spans="1:7" x14ac:dyDescent="0.25">
      <c r="A52">
        <v>65</v>
      </c>
      <c r="B52">
        <f>IF('PRIV-VALID.'!B$69&lt;'Parametri generali'!B$30,0,IF('PRIV-VALID.'!B$69&gt;'Parametri generali'!B$34,'Parametri generali'!B$35,IF('PRIV-VALID.'!B$69-'Parametri generali'!B$31&lt;'Parametri generali'!B$33,'Parametri generali'!B$33,'PRIV-VALID.'!B$69-'Parametri generali'!B$31)))</f>
        <v>0</v>
      </c>
      <c r="C52">
        <f>IF(A52&lt;'Parametri generali'!$C$9,0,IF(A52&gt;'Parametri generali'!$C$7,0,1))</f>
        <v>0</v>
      </c>
      <c r="D52" s="109">
        <v>0.18</v>
      </c>
      <c r="E52">
        <f t="shared" si="0"/>
        <v>0</v>
      </c>
      <c r="F52">
        <f>IF(A52&lt;'Parametri generali'!$C$9,0,B52*D52)</f>
        <v>0</v>
      </c>
      <c r="G52">
        <f t="shared" si="1"/>
        <v>0</v>
      </c>
    </row>
    <row r="53" spans="1:7" x14ac:dyDescent="0.25">
      <c r="E53">
        <f>SUM(E8:E52)</f>
        <v>0</v>
      </c>
    </row>
    <row r="56" spans="1:7" x14ac:dyDescent="0.25">
      <c r="A56" t="s">
        <v>271</v>
      </c>
      <c r="E56">
        <f>IF('Parametri generali'!C9&gt;25,'Parametri generali'!C7-'Parametri generali'!C9,'Parametri generali'!C7-25)</f>
        <v>-25</v>
      </c>
    </row>
    <row r="57" spans="1:7" x14ac:dyDescent="0.25">
      <c r="A57" t="s">
        <v>272</v>
      </c>
      <c r="E57">
        <f>ANALYSIS!C45</f>
        <v>0</v>
      </c>
    </row>
    <row r="58" spans="1:7" x14ac:dyDescent="0.25">
      <c r="A58" t="s">
        <v>274</v>
      </c>
      <c r="E58">
        <f>E56-E57</f>
        <v>-25</v>
      </c>
    </row>
    <row r="59" spans="1:7" x14ac:dyDescent="0.25">
      <c r="A59" t="s">
        <v>273</v>
      </c>
      <c r="E59">
        <f>IF(E58&lt;1,0,E53/E56*E58)</f>
        <v>0</v>
      </c>
    </row>
    <row r="60" spans="1:7" x14ac:dyDescent="0.25">
      <c r="A60" t="s">
        <v>275</v>
      </c>
      <c r="E60">
        <f>IF('Parametri generali'!C7&gt;49,E59/2,E59)</f>
        <v>0</v>
      </c>
    </row>
    <row r="61" spans="1:7" x14ac:dyDescent="0.25">
      <c r="A61" t="s">
        <v>276</v>
      </c>
      <c r="E61">
        <f>ANALYSIS!C55</f>
        <v>0</v>
      </c>
    </row>
    <row r="62" spans="1:7" x14ac:dyDescent="0.25">
      <c r="A62" t="s">
        <v>278</v>
      </c>
      <c r="E62">
        <f>IF(E60-E61&lt;0,0,E60-E61)</f>
        <v>0</v>
      </c>
    </row>
    <row r="64" spans="1:7" x14ac:dyDescent="0.25">
      <c r="A64" t="s">
        <v>279</v>
      </c>
      <c r="E64">
        <f>IF(E62&gt;20000,E62,E620)</f>
        <v>0</v>
      </c>
    </row>
    <row r="66" spans="1:5" x14ac:dyDescent="0.25">
      <c r="A66" t="s">
        <v>302</v>
      </c>
      <c r="E66">
        <f>IF('PRIV-VALID.'!B66&lt;1,0,VLOOKUP('PRIV-VALID.'!B66,A8:E52,5,FALSE))</f>
        <v>0</v>
      </c>
    </row>
    <row r="67" spans="1:5" x14ac:dyDescent="0.25">
      <c r="A67" t="s">
        <v>306</v>
      </c>
      <c r="E67">
        <f>G52*'Parametri generali'!B32</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85502-EAFA-4B3E-96F3-50F99CF06EAE}">
  <dimension ref="A2:G67"/>
  <sheetViews>
    <sheetView topLeftCell="A33" workbookViewId="0">
      <selection activeCell="B8" sqref="B8"/>
    </sheetView>
  </sheetViews>
  <sheetFormatPr defaultRowHeight="12.5" x14ac:dyDescent="0.25"/>
  <cols>
    <col min="2" max="2" width="21.26953125" customWidth="1"/>
    <col min="3" max="3" width="9.81640625" customWidth="1"/>
    <col min="5" max="5" width="15.453125" customWidth="1"/>
    <col min="6" max="6" width="20.7265625" customWidth="1"/>
    <col min="7" max="7" width="18.453125" customWidth="1"/>
  </cols>
  <sheetData>
    <row r="2" spans="1:7" x14ac:dyDescent="0.25">
      <c r="A2" t="s">
        <v>277</v>
      </c>
    </row>
    <row r="5" spans="1:7" x14ac:dyDescent="0.25">
      <c r="A5" t="s">
        <v>192</v>
      </c>
    </row>
    <row r="7" spans="1:7" x14ac:dyDescent="0.25">
      <c r="A7" t="s">
        <v>267</v>
      </c>
      <c r="B7" t="s">
        <v>313</v>
      </c>
      <c r="C7" t="s">
        <v>268</v>
      </c>
      <c r="D7" t="s">
        <v>269</v>
      </c>
      <c r="E7" t="s">
        <v>270</v>
      </c>
      <c r="F7" t="s">
        <v>304</v>
      </c>
      <c r="G7" t="s">
        <v>303</v>
      </c>
    </row>
    <row r="8" spans="1:7" x14ac:dyDescent="0.25">
      <c r="A8">
        <v>21</v>
      </c>
      <c r="B8">
        <f>IF('PRIV-VALID.'!B$14&lt;'Parametri generali'!B$30,0,IF('PRIV-VALID.'!B$14&gt;'Parametri generali'!B$34,'Parametri generali'!B$35,IF('PRIV-VALID.'!B$14-'Parametri generali'!B$31&lt;'Parametri generali'!B$33,'Parametri generali'!B$33,'PRIV-VALID.'!B$14-'Parametri generali'!B$31)))</f>
        <v>0</v>
      </c>
      <c r="C8">
        <v>0</v>
      </c>
      <c r="E8">
        <f>B8*C8*D8</f>
        <v>0</v>
      </c>
      <c r="F8">
        <v>0</v>
      </c>
      <c r="G8">
        <f>F8</f>
        <v>0</v>
      </c>
    </row>
    <row r="9" spans="1:7" x14ac:dyDescent="0.25">
      <c r="A9">
        <v>22</v>
      </c>
      <c r="B9">
        <f>IF('PRIV-VALID.'!B$14&lt;'Parametri generali'!B$30,0,IF('PRIV-VALID.'!B$14&gt;'Parametri generali'!B$34,'Parametri generali'!B$35,IF('PRIV-VALID.'!B$14-'Parametri generali'!B$31&lt;'Parametri generali'!B$33,'Parametri generali'!B$33,'PRIV-VALID.'!B$14-'Parametri generali'!B$31)))</f>
        <v>0</v>
      </c>
      <c r="C9">
        <v>0</v>
      </c>
      <c r="E9">
        <f t="shared" ref="E9:E52" si="0">B9*C9*D9</f>
        <v>0</v>
      </c>
      <c r="F9">
        <v>0</v>
      </c>
      <c r="G9">
        <f>(G8+F9)*101%</f>
        <v>0</v>
      </c>
    </row>
    <row r="10" spans="1:7" x14ac:dyDescent="0.25">
      <c r="A10">
        <v>23</v>
      </c>
      <c r="B10">
        <f>IF('PRIV-VALID.'!B$14&lt;'Parametri generali'!B$30,0,IF('PRIV-VALID.'!B$14&gt;'Parametri generali'!B$34,'Parametri generali'!B$35,IF('PRIV-VALID.'!B$14-'Parametri generali'!B$31&lt;'Parametri generali'!B$33,'Parametri generali'!B$33,'PRIV-VALID.'!B$14-'Parametri generali'!B$31)))</f>
        <v>0</v>
      </c>
      <c r="C10">
        <v>0</v>
      </c>
      <c r="E10">
        <f t="shared" si="0"/>
        <v>0</v>
      </c>
      <c r="F10">
        <v>0</v>
      </c>
      <c r="G10">
        <f t="shared" ref="G10:G52" si="1">(G9+F10)*101%</f>
        <v>0</v>
      </c>
    </row>
    <row r="11" spans="1:7" x14ac:dyDescent="0.25">
      <c r="A11">
        <v>24</v>
      </c>
      <c r="B11">
        <f>IF('PRIV-VALID.'!B$14&lt;'Parametri generali'!B$30,0,IF('PRIV-VALID.'!B$14&gt;'Parametri generali'!B$34,'Parametri generali'!B$35,IF('PRIV-VALID.'!B$14-'Parametri generali'!B$31&lt;'Parametri generali'!B$33,'Parametri generali'!B$33,'PRIV-VALID.'!B$14-'Parametri generali'!B$31)))</f>
        <v>0</v>
      </c>
      <c r="C11">
        <v>0</v>
      </c>
      <c r="E11">
        <f t="shared" si="0"/>
        <v>0</v>
      </c>
      <c r="F11">
        <v>0</v>
      </c>
      <c r="G11">
        <f t="shared" si="1"/>
        <v>0</v>
      </c>
    </row>
    <row r="12" spans="1:7" x14ac:dyDescent="0.25">
      <c r="A12">
        <v>25</v>
      </c>
      <c r="B12">
        <f>IF('PRIV-VALID.'!B$14&lt;'Parametri generali'!B$30,0,IF('PRIV-VALID.'!B$14&gt;'Parametri generali'!B$34,'Parametri generali'!B$35,IF('PRIV-VALID.'!B$14-'Parametri generali'!B$31&lt;'Parametri generali'!B$33,'Parametri generali'!B$33,'PRIV-VALID.'!B$14-'Parametri generali'!B$31)))</f>
        <v>0</v>
      </c>
      <c r="C12">
        <f ca="1">IF(A12&lt;'Parametri generali'!$B$9,0,IF(A12&gt;'Parametri generali'!$B$7,0,1))</f>
        <v>1</v>
      </c>
      <c r="D12" s="109">
        <v>7.0000000000000007E-2</v>
      </c>
      <c r="E12">
        <f t="shared" ca="1" si="0"/>
        <v>0</v>
      </c>
      <c r="F12">
        <f>IF(A12&lt;'Parametri generali'!$B$9,0,B12*D12)</f>
        <v>0</v>
      </c>
      <c r="G12">
        <f t="shared" si="1"/>
        <v>0</v>
      </c>
    </row>
    <row r="13" spans="1:7" x14ac:dyDescent="0.25">
      <c r="A13">
        <v>26</v>
      </c>
      <c r="B13">
        <f>IF('PRIV-VALID.'!B$14&lt;'Parametri generali'!B$30,0,IF('PRIV-VALID.'!B$14&gt;'Parametri generali'!B$34,'Parametri generali'!B$35,IF('PRIV-VALID.'!B$14-'Parametri generali'!B$31&lt;'Parametri generali'!B$33,'Parametri generali'!B$33,'PRIV-VALID.'!B$14-'Parametri generali'!B$31)))</f>
        <v>0</v>
      </c>
      <c r="C13">
        <f ca="1">IF(A13&lt;'Parametri generali'!$B$9,0,IF(A13&gt;'Parametri generali'!$B$7,0,1))</f>
        <v>1</v>
      </c>
      <c r="D13" s="109">
        <v>7.0000000000000007E-2</v>
      </c>
      <c r="E13">
        <f t="shared" ca="1" si="0"/>
        <v>0</v>
      </c>
      <c r="F13">
        <f>IF(A13&lt;'Parametri generali'!$B$9,0,B13*D13)</f>
        <v>0</v>
      </c>
      <c r="G13">
        <f t="shared" si="1"/>
        <v>0</v>
      </c>
    </row>
    <row r="14" spans="1:7" x14ac:dyDescent="0.25">
      <c r="A14">
        <v>27</v>
      </c>
      <c r="B14">
        <f>IF('PRIV-VALID.'!B$14&lt;'Parametri generali'!B$30,0,IF('PRIV-VALID.'!B$14&gt;'Parametri generali'!B$34,'Parametri generali'!B$35,IF('PRIV-VALID.'!B$14-'Parametri generali'!B$31&lt;'Parametri generali'!B$33,'Parametri generali'!B$33,'PRIV-VALID.'!B$14-'Parametri generali'!B$31)))</f>
        <v>0</v>
      </c>
      <c r="C14">
        <f ca="1">IF(A14&lt;'Parametri generali'!$B$9,0,IF(A14&gt;'Parametri generali'!$B$7,0,1))</f>
        <v>1</v>
      </c>
      <c r="D14" s="109">
        <v>7.0000000000000007E-2</v>
      </c>
      <c r="E14">
        <f t="shared" ca="1" si="0"/>
        <v>0</v>
      </c>
      <c r="F14">
        <f>IF(A14&lt;'Parametri generali'!$B$9,0,B14*D14)</f>
        <v>0</v>
      </c>
      <c r="G14">
        <f t="shared" si="1"/>
        <v>0</v>
      </c>
    </row>
    <row r="15" spans="1:7" x14ac:dyDescent="0.25">
      <c r="A15">
        <v>28</v>
      </c>
      <c r="B15">
        <f>IF('PRIV-VALID.'!B$14&lt;'Parametri generali'!B$30,0,IF('PRIV-VALID.'!B$14&gt;'Parametri generali'!B$34,'Parametri generali'!B$35,IF('PRIV-VALID.'!B$14-'Parametri generali'!B$31&lt;'Parametri generali'!B$33,'Parametri generali'!B$33,'PRIV-VALID.'!B$14-'Parametri generali'!B$31)))</f>
        <v>0</v>
      </c>
      <c r="C15">
        <f ca="1">IF(A15&lt;'Parametri generali'!$B$9,0,IF(A15&gt;'Parametri generali'!$B$7,0,1))</f>
        <v>1</v>
      </c>
      <c r="D15" s="109">
        <v>7.0000000000000007E-2</v>
      </c>
      <c r="E15">
        <f t="shared" ca="1" si="0"/>
        <v>0</v>
      </c>
      <c r="F15">
        <f>IF(A15&lt;'Parametri generali'!$B$9,0,B15*D15)</f>
        <v>0</v>
      </c>
      <c r="G15">
        <f t="shared" si="1"/>
        <v>0</v>
      </c>
    </row>
    <row r="16" spans="1:7" x14ac:dyDescent="0.25">
      <c r="A16">
        <v>29</v>
      </c>
      <c r="B16">
        <f>IF('PRIV-VALID.'!B$14&lt;'Parametri generali'!B$30,0,IF('PRIV-VALID.'!B$14&gt;'Parametri generali'!B$34,'Parametri generali'!B$35,IF('PRIV-VALID.'!B$14-'Parametri generali'!B$31&lt;'Parametri generali'!B$33,'Parametri generali'!B$33,'PRIV-VALID.'!B$14-'Parametri generali'!B$31)))</f>
        <v>0</v>
      </c>
      <c r="C16">
        <f ca="1">IF(A16&lt;'Parametri generali'!$B$9,0,IF(A16&gt;'Parametri generali'!$B$7,0,1))</f>
        <v>1</v>
      </c>
      <c r="D16" s="109">
        <v>7.0000000000000007E-2</v>
      </c>
      <c r="E16">
        <f t="shared" ca="1" si="0"/>
        <v>0</v>
      </c>
      <c r="F16">
        <f>IF(A16&lt;'Parametri generali'!$B$9,0,B16*D16)</f>
        <v>0</v>
      </c>
      <c r="G16">
        <f t="shared" si="1"/>
        <v>0</v>
      </c>
    </row>
    <row r="17" spans="1:7" x14ac:dyDescent="0.25">
      <c r="A17">
        <v>30</v>
      </c>
      <c r="B17">
        <f>IF('PRIV-VALID.'!B$14&lt;'Parametri generali'!B$30,0,IF('PRIV-VALID.'!B$14&gt;'Parametri generali'!B$34,'Parametri generali'!B$35,IF('PRIV-VALID.'!B$14-'Parametri generali'!B$31&lt;'Parametri generali'!B$33,'Parametri generali'!B$33,'PRIV-VALID.'!B$14-'Parametri generali'!B$31)))</f>
        <v>0</v>
      </c>
      <c r="C17">
        <f ca="1">IF(A17&lt;'Parametri generali'!$B$9,0,IF(A17&gt;'Parametri generali'!$B$7,0,1))</f>
        <v>1</v>
      </c>
      <c r="D17" s="109">
        <v>7.0000000000000007E-2</v>
      </c>
      <c r="E17">
        <f t="shared" ca="1" si="0"/>
        <v>0</v>
      </c>
      <c r="F17">
        <f>IF(A17&lt;'Parametri generali'!$B$9,0,B17*D17)</f>
        <v>0</v>
      </c>
      <c r="G17">
        <f t="shared" si="1"/>
        <v>0</v>
      </c>
    </row>
    <row r="18" spans="1:7" x14ac:dyDescent="0.25">
      <c r="A18">
        <v>31</v>
      </c>
      <c r="B18">
        <f>IF('PRIV-VALID.'!B$14&lt;'Parametri generali'!B$30,0,IF('PRIV-VALID.'!B$14&gt;'Parametri generali'!B$34,'Parametri generali'!B$35,IF('PRIV-VALID.'!B$14-'Parametri generali'!B$31&lt;'Parametri generali'!B$33,'Parametri generali'!B$33,'PRIV-VALID.'!B$14-'Parametri generali'!B$31)))</f>
        <v>0</v>
      </c>
      <c r="C18">
        <f ca="1">IF(A18&lt;'Parametri generali'!$B$9,0,IF(A18&gt;'Parametri generali'!$B$7,0,1))</f>
        <v>1</v>
      </c>
      <c r="D18" s="109">
        <v>7.0000000000000007E-2</v>
      </c>
      <c r="E18">
        <f t="shared" ca="1" si="0"/>
        <v>0</v>
      </c>
      <c r="F18">
        <f>IF(A18&lt;'Parametri generali'!$B$9,0,B18*D18)</f>
        <v>0</v>
      </c>
      <c r="G18">
        <f t="shared" si="1"/>
        <v>0</v>
      </c>
    </row>
    <row r="19" spans="1:7" x14ac:dyDescent="0.25">
      <c r="A19">
        <v>32</v>
      </c>
      <c r="B19">
        <f>IF('PRIV-VALID.'!B$14&lt;'Parametri generali'!B$30,0,IF('PRIV-VALID.'!B$14&gt;'Parametri generali'!B$34,'Parametri generali'!B$35,IF('PRIV-VALID.'!B$14-'Parametri generali'!B$31&lt;'Parametri generali'!B$33,'Parametri generali'!B$33,'PRIV-VALID.'!B$14-'Parametri generali'!B$31)))</f>
        <v>0</v>
      </c>
      <c r="C19">
        <f ca="1">IF(A19&lt;'Parametri generali'!$B$9,0,IF(A19&gt;'Parametri generali'!$B$7,0,1))</f>
        <v>1</v>
      </c>
      <c r="D19" s="109">
        <v>7.0000000000000007E-2</v>
      </c>
      <c r="E19">
        <f t="shared" ca="1" si="0"/>
        <v>0</v>
      </c>
      <c r="F19">
        <f>IF(A19&lt;'Parametri generali'!$B$9,0,B19*D19)</f>
        <v>0</v>
      </c>
      <c r="G19">
        <f t="shared" si="1"/>
        <v>0</v>
      </c>
    </row>
    <row r="20" spans="1:7" x14ac:dyDescent="0.25">
      <c r="A20">
        <v>33</v>
      </c>
      <c r="B20">
        <f>IF('PRIV-VALID.'!B$14&lt;'Parametri generali'!B$30,0,IF('PRIV-VALID.'!B$14&gt;'Parametri generali'!B$34,'Parametri generali'!B$35,IF('PRIV-VALID.'!B$14-'Parametri generali'!B$31&lt;'Parametri generali'!B$33,'Parametri generali'!B$33,'PRIV-VALID.'!B$14-'Parametri generali'!B$31)))</f>
        <v>0</v>
      </c>
      <c r="C20">
        <f ca="1">IF(A20&lt;'Parametri generali'!$B$9,0,IF(A20&gt;'Parametri generali'!$B$7,0,1))</f>
        <v>1</v>
      </c>
      <c r="D20" s="109">
        <v>7.0000000000000007E-2</v>
      </c>
      <c r="E20">
        <f t="shared" ca="1" si="0"/>
        <v>0</v>
      </c>
      <c r="F20">
        <f>IF(A20&lt;'Parametri generali'!$B$9,0,B20*D20)</f>
        <v>0</v>
      </c>
      <c r="G20">
        <f t="shared" si="1"/>
        <v>0</v>
      </c>
    </row>
    <row r="21" spans="1:7" x14ac:dyDescent="0.25">
      <c r="A21">
        <v>34</v>
      </c>
      <c r="B21">
        <f>IF('PRIV-VALID.'!B$14&lt;'Parametri generali'!B$30,0,IF('PRIV-VALID.'!B$14&gt;'Parametri generali'!B$34,'Parametri generali'!B$35,IF('PRIV-VALID.'!B$14-'Parametri generali'!B$31&lt;'Parametri generali'!B$33,'Parametri generali'!B$33,'PRIV-VALID.'!B$14-'Parametri generali'!B$31)))</f>
        <v>0</v>
      </c>
      <c r="C21">
        <f ca="1">IF(A21&lt;'Parametri generali'!$B$9,0,IF(A21&gt;'Parametri generali'!$B$7,0,1))</f>
        <v>1</v>
      </c>
      <c r="D21" s="109">
        <v>7.0000000000000007E-2</v>
      </c>
      <c r="E21">
        <f t="shared" ca="1" si="0"/>
        <v>0</v>
      </c>
      <c r="F21">
        <f>IF(A21&lt;'Parametri generali'!$B$9,0,B21*D21)</f>
        <v>0</v>
      </c>
      <c r="G21">
        <f t="shared" si="1"/>
        <v>0</v>
      </c>
    </row>
    <row r="22" spans="1:7" x14ac:dyDescent="0.25">
      <c r="A22">
        <v>35</v>
      </c>
      <c r="B22">
        <f>IF('PRIV-VALID.'!B$14&lt;'Parametri generali'!B$30,0,IF('PRIV-VALID.'!B$14&gt;'Parametri generali'!B$34,'Parametri generali'!B$35,IF('PRIV-VALID.'!B$14-'Parametri generali'!B$31&lt;'Parametri generali'!B$33,'Parametri generali'!B$33,'PRIV-VALID.'!B$14-'Parametri generali'!B$31)))</f>
        <v>0</v>
      </c>
      <c r="C22">
        <f ca="1">IF(A22&lt;'Parametri generali'!$B$9,0,IF(A22&gt;'Parametri generali'!$B$7,0,1))</f>
        <v>1</v>
      </c>
      <c r="D22" s="109">
        <v>0.1</v>
      </c>
      <c r="E22">
        <f t="shared" ca="1" si="0"/>
        <v>0</v>
      </c>
      <c r="F22">
        <f>IF(A22&lt;'Parametri generali'!$B$9,0,B22*D22)</f>
        <v>0</v>
      </c>
      <c r="G22">
        <f t="shared" si="1"/>
        <v>0</v>
      </c>
    </row>
    <row r="23" spans="1:7" x14ac:dyDescent="0.25">
      <c r="A23">
        <v>36</v>
      </c>
      <c r="B23">
        <f>IF('PRIV-VALID.'!B$14&lt;'Parametri generali'!B$30,0,IF('PRIV-VALID.'!B$14&gt;'Parametri generali'!B$34,'Parametri generali'!B$35,IF('PRIV-VALID.'!B$14-'Parametri generali'!B$31&lt;'Parametri generali'!B$33,'Parametri generali'!B$33,'PRIV-VALID.'!B$14-'Parametri generali'!B$31)))</f>
        <v>0</v>
      </c>
      <c r="C23">
        <f ca="1">IF(A23&lt;'Parametri generali'!$B$9,0,IF(A23&gt;'Parametri generali'!$B$7,0,1))</f>
        <v>1</v>
      </c>
      <c r="D23" s="109">
        <v>0.1</v>
      </c>
      <c r="E23">
        <f t="shared" ca="1" si="0"/>
        <v>0</v>
      </c>
      <c r="F23">
        <f>IF(A23&lt;'Parametri generali'!$B$9,0,B23*D23)</f>
        <v>0</v>
      </c>
      <c r="G23">
        <f t="shared" si="1"/>
        <v>0</v>
      </c>
    </row>
    <row r="24" spans="1:7" x14ac:dyDescent="0.25">
      <c r="A24">
        <v>37</v>
      </c>
      <c r="B24">
        <f>IF('PRIV-VALID.'!B$14&lt;'Parametri generali'!B$30,0,IF('PRIV-VALID.'!B$14&gt;'Parametri generali'!B$34,'Parametri generali'!B$35,IF('PRIV-VALID.'!B$14-'Parametri generali'!B$31&lt;'Parametri generali'!B$33,'Parametri generali'!B$33,'PRIV-VALID.'!B$14-'Parametri generali'!B$31)))</f>
        <v>0</v>
      </c>
      <c r="C24">
        <f ca="1">IF(A24&lt;'Parametri generali'!$B$9,0,IF(A24&gt;'Parametri generali'!$B$7,0,1))</f>
        <v>1</v>
      </c>
      <c r="D24" s="109">
        <v>0.1</v>
      </c>
      <c r="E24">
        <f t="shared" ca="1" si="0"/>
        <v>0</v>
      </c>
      <c r="F24">
        <f>IF(A24&lt;'Parametri generali'!$B$9,0,B24*D24)</f>
        <v>0</v>
      </c>
      <c r="G24">
        <f t="shared" si="1"/>
        <v>0</v>
      </c>
    </row>
    <row r="25" spans="1:7" x14ac:dyDescent="0.25">
      <c r="A25">
        <v>38</v>
      </c>
      <c r="B25">
        <f>IF('PRIV-VALID.'!B$14&lt;'Parametri generali'!B$30,0,IF('PRIV-VALID.'!B$14&gt;'Parametri generali'!B$34,'Parametri generali'!B$35,IF('PRIV-VALID.'!B$14-'Parametri generali'!B$31&lt;'Parametri generali'!B$33,'Parametri generali'!B$33,'PRIV-VALID.'!B$14-'Parametri generali'!B$31)))</f>
        <v>0</v>
      </c>
      <c r="C25">
        <f ca="1">IF(A25&lt;'Parametri generali'!$B$9,0,IF(A25&gt;'Parametri generali'!$B$7,0,1))</f>
        <v>1</v>
      </c>
      <c r="D25" s="109">
        <v>0.1</v>
      </c>
      <c r="E25">
        <f t="shared" ca="1" si="0"/>
        <v>0</v>
      </c>
      <c r="F25">
        <f>IF(A25&lt;'Parametri generali'!$B$9,0,B25*D25)</f>
        <v>0</v>
      </c>
      <c r="G25">
        <f t="shared" si="1"/>
        <v>0</v>
      </c>
    </row>
    <row r="26" spans="1:7" x14ac:dyDescent="0.25">
      <c r="A26">
        <v>39</v>
      </c>
      <c r="B26">
        <f>IF('PRIV-VALID.'!B$14&lt;'Parametri generali'!B$30,0,IF('PRIV-VALID.'!B$14&gt;'Parametri generali'!B$34,'Parametri generali'!B$35,IF('PRIV-VALID.'!B$14-'Parametri generali'!B$31&lt;'Parametri generali'!B$33,'Parametri generali'!B$33,'PRIV-VALID.'!B$14-'Parametri generali'!B$31)))</f>
        <v>0</v>
      </c>
      <c r="C26">
        <f ca="1">IF(A26&lt;'Parametri generali'!$B$9,0,IF(A26&gt;'Parametri generali'!$B$7,0,1))</f>
        <v>1</v>
      </c>
      <c r="D26" s="109">
        <v>0.1</v>
      </c>
      <c r="E26">
        <f t="shared" ca="1" si="0"/>
        <v>0</v>
      </c>
      <c r="F26">
        <f>IF(A26&lt;'Parametri generali'!$B$9,0,B26*D26)</f>
        <v>0</v>
      </c>
      <c r="G26">
        <f t="shared" si="1"/>
        <v>0</v>
      </c>
    </row>
    <row r="27" spans="1:7" x14ac:dyDescent="0.25">
      <c r="A27">
        <v>40</v>
      </c>
      <c r="B27">
        <f>IF('PRIV-VALID.'!B$14&lt;'Parametri generali'!B$30,0,IF('PRIV-VALID.'!B$14&gt;'Parametri generali'!B$34,'Parametri generali'!B$35,IF('PRIV-VALID.'!B$14-'Parametri generali'!B$31&lt;'Parametri generali'!B$33,'Parametri generali'!B$33,'PRIV-VALID.'!B$14-'Parametri generali'!B$31)))</f>
        <v>0</v>
      </c>
      <c r="C27">
        <f ca="1">IF(A27&lt;'Parametri generali'!$B$9,0,IF(A27&gt;'Parametri generali'!$B$7,0,1))</f>
        <v>1</v>
      </c>
      <c r="D27" s="109">
        <v>0.1</v>
      </c>
      <c r="E27">
        <f t="shared" ca="1" si="0"/>
        <v>0</v>
      </c>
      <c r="F27">
        <f>IF(A27&lt;'Parametri generali'!$B$9,0,B27*D27)</f>
        <v>0</v>
      </c>
      <c r="G27">
        <f t="shared" si="1"/>
        <v>0</v>
      </c>
    </row>
    <row r="28" spans="1:7" x14ac:dyDescent="0.25">
      <c r="A28">
        <v>41</v>
      </c>
      <c r="B28">
        <f>IF('PRIV-VALID.'!B$14&lt;'Parametri generali'!B$30,0,IF('PRIV-VALID.'!B$14&gt;'Parametri generali'!B$34,'Parametri generali'!B$35,IF('PRIV-VALID.'!B$14-'Parametri generali'!B$31&lt;'Parametri generali'!B$33,'Parametri generali'!B$33,'PRIV-VALID.'!B$14-'Parametri generali'!B$31)))</f>
        <v>0</v>
      </c>
      <c r="C28">
        <f ca="1">IF(A28&lt;'Parametri generali'!$B$9,0,IF(A28&gt;'Parametri generali'!$B$7,0,1))</f>
        <v>1</v>
      </c>
      <c r="D28" s="109">
        <v>0.1</v>
      </c>
      <c r="E28">
        <f t="shared" ca="1" si="0"/>
        <v>0</v>
      </c>
      <c r="F28">
        <f>IF(A28&lt;'Parametri generali'!$B$9,0,B28*D28)</f>
        <v>0</v>
      </c>
      <c r="G28">
        <f t="shared" si="1"/>
        <v>0</v>
      </c>
    </row>
    <row r="29" spans="1:7" x14ac:dyDescent="0.25">
      <c r="A29">
        <v>42</v>
      </c>
      <c r="B29">
        <f>IF('PRIV-VALID.'!B$14&lt;'Parametri generali'!B$30,0,IF('PRIV-VALID.'!B$14&gt;'Parametri generali'!B$34,'Parametri generali'!B$35,IF('PRIV-VALID.'!B$14-'Parametri generali'!B$31&lt;'Parametri generali'!B$33,'Parametri generali'!B$33,'PRIV-VALID.'!B$14-'Parametri generali'!B$31)))</f>
        <v>0</v>
      </c>
      <c r="C29">
        <f ca="1">IF(A29&lt;'Parametri generali'!$B$9,0,IF(A29&gt;'Parametri generali'!$B$7,0,1))</f>
        <v>1</v>
      </c>
      <c r="D29" s="109">
        <v>0.1</v>
      </c>
      <c r="E29">
        <f t="shared" ca="1" si="0"/>
        <v>0</v>
      </c>
      <c r="F29">
        <f>IF(A29&lt;'Parametri generali'!$B$9,0,B29*D29)</f>
        <v>0</v>
      </c>
      <c r="G29">
        <f t="shared" si="1"/>
        <v>0</v>
      </c>
    </row>
    <row r="30" spans="1:7" x14ac:dyDescent="0.25">
      <c r="A30">
        <v>43</v>
      </c>
      <c r="B30">
        <f>IF('PRIV-VALID.'!B$14&lt;'Parametri generali'!B$30,0,IF('PRIV-VALID.'!B$14&gt;'Parametri generali'!B$34,'Parametri generali'!B$35,IF('PRIV-VALID.'!B$14-'Parametri generali'!B$31&lt;'Parametri generali'!B$33,'Parametri generali'!B$33,'PRIV-VALID.'!B$14-'Parametri generali'!B$31)))</f>
        <v>0</v>
      </c>
      <c r="C30">
        <f ca="1">IF(A30&lt;'Parametri generali'!$B$9,0,IF(A30&gt;'Parametri generali'!$B$7,0,1))</f>
        <v>1</v>
      </c>
      <c r="D30" s="109">
        <v>0.1</v>
      </c>
      <c r="E30">
        <f t="shared" ca="1" si="0"/>
        <v>0</v>
      </c>
      <c r="F30">
        <f>IF(A30&lt;'Parametri generali'!$B$9,0,B30*D30)</f>
        <v>0</v>
      </c>
      <c r="G30">
        <f t="shared" si="1"/>
        <v>0</v>
      </c>
    </row>
    <row r="31" spans="1:7" x14ac:dyDescent="0.25">
      <c r="A31">
        <v>44</v>
      </c>
      <c r="B31">
        <f>IF('PRIV-VALID.'!B$14&lt;'Parametri generali'!B$30,0,IF('PRIV-VALID.'!B$14&gt;'Parametri generali'!B$34,'Parametri generali'!B$35,IF('PRIV-VALID.'!B$14-'Parametri generali'!B$31&lt;'Parametri generali'!B$33,'Parametri generali'!B$33,'PRIV-VALID.'!B$14-'Parametri generali'!B$31)))</f>
        <v>0</v>
      </c>
      <c r="C31">
        <f ca="1">IF(A31&lt;'Parametri generali'!$B$9,0,IF(A31&gt;'Parametri generali'!$B$7,0,1))</f>
        <v>1</v>
      </c>
      <c r="D31" s="109">
        <v>0.1</v>
      </c>
      <c r="E31">
        <f t="shared" ca="1" si="0"/>
        <v>0</v>
      </c>
      <c r="F31">
        <f>IF(A31&lt;'Parametri generali'!$B$9,0,B31*D31)</f>
        <v>0</v>
      </c>
      <c r="G31">
        <f t="shared" si="1"/>
        <v>0</v>
      </c>
    </row>
    <row r="32" spans="1:7" x14ac:dyDescent="0.25">
      <c r="A32">
        <v>45</v>
      </c>
      <c r="B32">
        <f>IF('PRIV-VALID.'!B$14&lt;'Parametri generali'!B$30,0,IF('PRIV-VALID.'!B$14&gt;'Parametri generali'!B$34,'Parametri generali'!B$35,IF('PRIV-VALID.'!B$14-'Parametri generali'!B$31&lt;'Parametri generali'!B$33,'Parametri generali'!B$33,'PRIV-VALID.'!B$14-'Parametri generali'!B$31)))</f>
        <v>0</v>
      </c>
      <c r="C32">
        <f ca="1">IF(A32&lt;'Parametri generali'!$B$9,0,IF(A32&gt;'Parametri generali'!$B$7,0,1))</f>
        <v>1</v>
      </c>
      <c r="D32" s="109">
        <v>0.15</v>
      </c>
      <c r="E32">
        <f t="shared" ca="1" si="0"/>
        <v>0</v>
      </c>
      <c r="F32">
        <f>IF(A32&lt;'Parametri generali'!$B$9,0,B32*D32)</f>
        <v>0</v>
      </c>
      <c r="G32">
        <f t="shared" si="1"/>
        <v>0</v>
      </c>
    </row>
    <row r="33" spans="1:7" x14ac:dyDescent="0.25">
      <c r="A33">
        <v>46</v>
      </c>
      <c r="B33">
        <f>IF('PRIV-VALID.'!B$14&lt;'Parametri generali'!B$30,0,IF('PRIV-VALID.'!B$14&gt;'Parametri generali'!B$34,'Parametri generali'!B$35,IF('PRIV-VALID.'!B$14-'Parametri generali'!B$31&lt;'Parametri generali'!B$33,'Parametri generali'!B$33,'PRIV-VALID.'!B$14-'Parametri generali'!B$31)))</f>
        <v>0</v>
      </c>
      <c r="C33">
        <f ca="1">IF(A33&lt;'Parametri generali'!$B$9,0,IF(A33&gt;'Parametri generali'!$B$7,0,1))</f>
        <v>1</v>
      </c>
      <c r="D33" s="109">
        <v>0.15</v>
      </c>
      <c r="E33">
        <f t="shared" ca="1" si="0"/>
        <v>0</v>
      </c>
      <c r="F33">
        <f>IF(A33&lt;'Parametri generali'!$B$9,0,B33*D33)</f>
        <v>0</v>
      </c>
      <c r="G33">
        <f t="shared" si="1"/>
        <v>0</v>
      </c>
    </row>
    <row r="34" spans="1:7" x14ac:dyDescent="0.25">
      <c r="A34">
        <v>47</v>
      </c>
      <c r="B34">
        <f>IF('PRIV-VALID.'!B$14&lt;'Parametri generali'!B$30,0,IF('PRIV-VALID.'!B$14&gt;'Parametri generali'!B$34,'Parametri generali'!B$35,IF('PRIV-VALID.'!B$14-'Parametri generali'!B$31&lt;'Parametri generali'!B$33,'Parametri generali'!B$33,'PRIV-VALID.'!B$14-'Parametri generali'!B$31)))</f>
        <v>0</v>
      </c>
      <c r="C34">
        <f ca="1">IF(A34&lt;'Parametri generali'!$B$9,0,IF(A34&gt;'Parametri generali'!$B$7,0,1))</f>
        <v>1</v>
      </c>
      <c r="D34" s="109">
        <v>0.15</v>
      </c>
      <c r="E34">
        <f t="shared" ca="1" si="0"/>
        <v>0</v>
      </c>
      <c r="F34">
        <f>IF(A34&lt;'Parametri generali'!$B$9,0,B34*D34)</f>
        <v>0</v>
      </c>
      <c r="G34">
        <f t="shared" si="1"/>
        <v>0</v>
      </c>
    </row>
    <row r="35" spans="1:7" x14ac:dyDescent="0.25">
      <c r="A35">
        <v>48</v>
      </c>
      <c r="B35">
        <f>IF('PRIV-VALID.'!B$14&lt;'Parametri generali'!B$30,0,IF('PRIV-VALID.'!B$14&gt;'Parametri generali'!B$34,'Parametri generali'!B$35,IF('PRIV-VALID.'!B$14-'Parametri generali'!B$31&lt;'Parametri generali'!B$33,'Parametri generali'!B$33,'PRIV-VALID.'!B$14-'Parametri generali'!B$31)))</f>
        <v>0</v>
      </c>
      <c r="C35">
        <f ca="1">IF(A35&lt;'Parametri generali'!$B$9,0,IF(A35&gt;'Parametri generali'!$B$7,0,1))</f>
        <v>1</v>
      </c>
      <c r="D35" s="109">
        <v>0.15</v>
      </c>
      <c r="E35">
        <f t="shared" ca="1" si="0"/>
        <v>0</v>
      </c>
      <c r="F35">
        <f>IF(A35&lt;'Parametri generali'!$B$9,0,B35*D35)</f>
        <v>0</v>
      </c>
      <c r="G35">
        <f t="shared" si="1"/>
        <v>0</v>
      </c>
    </row>
    <row r="36" spans="1:7" x14ac:dyDescent="0.25">
      <c r="A36">
        <v>49</v>
      </c>
      <c r="B36">
        <f>IF('PRIV-VALID.'!B$14&lt;'Parametri generali'!B$30,0,IF('PRIV-VALID.'!B$14&gt;'Parametri generali'!B$34,'Parametri generali'!B$35,IF('PRIV-VALID.'!B$14-'Parametri generali'!B$31&lt;'Parametri generali'!B$33,'Parametri generali'!B$33,'PRIV-VALID.'!B$14-'Parametri generali'!B$31)))</f>
        <v>0</v>
      </c>
      <c r="C36">
        <f ca="1">IF(A36&lt;'Parametri generali'!$B$9,0,IF(A36&gt;'Parametri generali'!$B$7,0,1))</f>
        <v>1</v>
      </c>
      <c r="D36" s="109">
        <v>0.15</v>
      </c>
      <c r="E36">
        <f t="shared" ca="1" si="0"/>
        <v>0</v>
      </c>
      <c r="F36">
        <f>IF(A36&lt;'Parametri generali'!$B$9,0,B36*D36)</f>
        <v>0</v>
      </c>
      <c r="G36">
        <f t="shared" si="1"/>
        <v>0</v>
      </c>
    </row>
    <row r="37" spans="1:7" x14ac:dyDescent="0.25">
      <c r="A37">
        <v>50</v>
      </c>
      <c r="B37">
        <f>IF('PRIV-VALID.'!B$14&lt;'Parametri generali'!B$30,0,IF('PRIV-VALID.'!B$14&gt;'Parametri generali'!B$34,'Parametri generali'!B$35,IF('PRIV-VALID.'!B$14-'Parametri generali'!B$31&lt;'Parametri generali'!B$33,'Parametri generali'!B$33,'PRIV-VALID.'!B$14-'Parametri generali'!B$31)))</f>
        <v>0</v>
      </c>
      <c r="C37">
        <f ca="1">IF(A37&lt;'Parametri generali'!$B$9,0,IF(A37&gt;'Parametri generali'!$B$7,0,1))</f>
        <v>1</v>
      </c>
      <c r="D37" s="109">
        <v>0.15</v>
      </c>
      <c r="E37">
        <f t="shared" ca="1" si="0"/>
        <v>0</v>
      </c>
      <c r="F37">
        <f>IF(A37&lt;'Parametri generali'!$B$9,0,B37*D37)</f>
        <v>0</v>
      </c>
      <c r="G37">
        <f t="shared" si="1"/>
        <v>0</v>
      </c>
    </row>
    <row r="38" spans="1:7" x14ac:dyDescent="0.25">
      <c r="A38">
        <v>51</v>
      </c>
      <c r="B38">
        <f>IF('PRIV-VALID.'!B$14&lt;'Parametri generali'!B$30,0,IF('PRIV-VALID.'!B$14&gt;'Parametri generali'!B$34,'Parametri generali'!B$35,IF('PRIV-VALID.'!B$14-'Parametri generali'!B$31&lt;'Parametri generali'!B$33,'Parametri generali'!B$33,'PRIV-VALID.'!B$14-'Parametri generali'!B$31)))</f>
        <v>0</v>
      </c>
      <c r="C38">
        <f ca="1">IF(A38&lt;'Parametri generali'!$B$9,0,IF(A38&gt;'Parametri generali'!$B$7,0,1))</f>
        <v>1</v>
      </c>
      <c r="D38" s="109">
        <v>0.15</v>
      </c>
      <c r="E38">
        <f t="shared" ca="1" si="0"/>
        <v>0</v>
      </c>
      <c r="F38">
        <f>IF(A38&lt;'Parametri generali'!$B$9,0,B38*D38)</f>
        <v>0</v>
      </c>
      <c r="G38">
        <f t="shared" si="1"/>
        <v>0</v>
      </c>
    </row>
    <row r="39" spans="1:7" x14ac:dyDescent="0.25">
      <c r="A39">
        <v>52</v>
      </c>
      <c r="B39">
        <f>IF('PRIV-VALID.'!B$14&lt;'Parametri generali'!B$30,0,IF('PRIV-VALID.'!B$14&gt;'Parametri generali'!B$34,'Parametri generali'!B$35,IF('PRIV-VALID.'!B$14-'Parametri generali'!B$31&lt;'Parametri generali'!B$33,'Parametri generali'!B$33,'PRIV-VALID.'!B$14-'Parametri generali'!B$31)))</f>
        <v>0</v>
      </c>
      <c r="C39">
        <f ca="1">IF(A39&lt;'Parametri generali'!$B$9,0,IF(A39&gt;'Parametri generali'!$B$7,0,1))</f>
        <v>1</v>
      </c>
      <c r="D39" s="109">
        <v>0.15</v>
      </c>
      <c r="E39">
        <f t="shared" ca="1" si="0"/>
        <v>0</v>
      </c>
      <c r="F39">
        <f>IF(A39&lt;'Parametri generali'!$B$9,0,B39*D39)</f>
        <v>0</v>
      </c>
      <c r="G39">
        <f>(G38+F39)*101%</f>
        <v>0</v>
      </c>
    </row>
    <row r="40" spans="1:7" x14ac:dyDescent="0.25">
      <c r="A40">
        <v>53</v>
      </c>
      <c r="B40">
        <f>IF('PRIV-VALID.'!B$14&lt;'Parametri generali'!B$30,0,IF('PRIV-VALID.'!B$14&gt;'Parametri generali'!B$34,'Parametri generali'!B$35,IF('PRIV-VALID.'!B$14-'Parametri generali'!B$31&lt;'Parametri generali'!B$33,'Parametri generali'!B$33,'PRIV-VALID.'!B$14-'Parametri generali'!B$31)))</f>
        <v>0</v>
      </c>
      <c r="C40">
        <f ca="1">IF(A40&lt;'Parametri generali'!$B$9,0,IF(A40&gt;'Parametri generali'!$B$7,0,1))</f>
        <v>1</v>
      </c>
      <c r="D40" s="109">
        <v>0.15</v>
      </c>
      <c r="E40">
        <f t="shared" ca="1" si="0"/>
        <v>0</v>
      </c>
      <c r="F40">
        <f>IF(A40&lt;'Parametri generali'!$B$9,0,B40*D40)</f>
        <v>0</v>
      </c>
      <c r="G40">
        <f t="shared" si="1"/>
        <v>0</v>
      </c>
    </row>
    <row r="41" spans="1:7" x14ac:dyDescent="0.25">
      <c r="A41">
        <v>54</v>
      </c>
      <c r="B41">
        <f>IF('PRIV-VALID.'!B$14&lt;'Parametri generali'!B$30,0,IF('PRIV-VALID.'!B$14&gt;'Parametri generali'!B$34,'Parametri generali'!B$35,IF('PRIV-VALID.'!B$14-'Parametri generali'!B$31&lt;'Parametri generali'!B$33,'Parametri generali'!B$33,'PRIV-VALID.'!B$14-'Parametri generali'!B$31)))</f>
        <v>0</v>
      </c>
      <c r="C41">
        <f ca="1">IF(A41&lt;'Parametri generali'!$B$9,0,IF(A41&gt;'Parametri generali'!$B$7,0,1))</f>
        <v>1</v>
      </c>
      <c r="D41" s="109">
        <v>0.15</v>
      </c>
      <c r="E41">
        <f t="shared" ca="1" si="0"/>
        <v>0</v>
      </c>
      <c r="F41">
        <f>IF(A41&lt;'Parametri generali'!$B$9,0,B41*D41)</f>
        <v>0</v>
      </c>
      <c r="G41">
        <f t="shared" si="1"/>
        <v>0</v>
      </c>
    </row>
    <row r="42" spans="1:7" x14ac:dyDescent="0.25">
      <c r="A42">
        <v>55</v>
      </c>
      <c r="B42">
        <f>IF('PRIV-VALID.'!B$14&lt;'Parametri generali'!B$30,0,IF('PRIV-VALID.'!B$14&gt;'Parametri generali'!B$34,'Parametri generali'!B$35,IF('PRIV-VALID.'!B$14-'Parametri generali'!B$31&lt;'Parametri generali'!B$33,'Parametri generali'!B$33,'PRIV-VALID.'!B$14-'Parametri generali'!B$31)))</f>
        <v>0</v>
      </c>
      <c r="C42">
        <f ca="1">IF(A42&lt;'Parametri generali'!$B$9,0,IF(A42&gt;'Parametri generali'!$B$7,0,1))</f>
        <v>1</v>
      </c>
      <c r="D42" s="109">
        <v>0.18</v>
      </c>
      <c r="E42">
        <f t="shared" ca="1" si="0"/>
        <v>0</v>
      </c>
      <c r="F42">
        <f>IF(A42&lt;'Parametri generali'!$B$9,0,B42*D42)</f>
        <v>0</v>
      </c>
      <c r="G42">
        <f t="shared" si="1"/>
        <v>0</v>
      </c>
    </row>
    <row r="43" spans="1:7" x14ac:dyDescent="0.25">
      <c r="A43">
        <v>56</v>
      </c>
      <c r="B43">
        <f>IF('PRIV-VALID.'!B$14&lt;'Parametri generali'!B$30,0,IF('PRIV-VALID.'!B$14&gt;'Parametri generali'!B$34,'Parametri generali'!B$35,IF('PRIV-VALID.'!B$14-'Parametri generali'!B$31&lt;'Parametri generali'!B$33,'Parametri generali'!B$33,'PRIV-VALID.'!B$14-'Parametri generali'!B$31)))</f>
        <v>0</v>
      </c>
      <c r="C43">
        <f ca="1">IF(A43&lt;'Parametri generali'!$B$9,0,IF(A43&gt;'Parametri generali'!$B$7,0,1))</f>
        <v>1</v>
      </c>
      <c r="D43" s="109">
        <v>0.18</v>
      </c>
      <c r="E43">
        <f t="shared" ca="1" si="0"/>
        <v>0</v>
      </c>
      <c r="F43">
        <f>IF(A43&lt;'Parametri generali'!$B$9,0,B43*D43)</f>
        <v>0</v>
      </c>
      <c r="G43">
        <f t="shared" si="1"/>
        <v>0</v>
      </c>
    </row>
    <row r="44" spans="1:7" x14ac:dyDescent="0.25">
      <c r="A44">
        <v>57</v>
      </c>
      <c r="B44">
        <f>IF('PRIV-VALID.'!B$14&lt;'Parametri generali'!B$30,0,IF('PRIV-VALID.'!B$14&gt;'Parametri generali'!B$34,'Parametri generali'!B$35,IF('PRIV-VALID.'!B$14-'Parametri generali'!B$31&lt;'Parametri generali'!B$33,'Parametri generali'!B$33,'PRIV-VALID.'!B$14-'Parametri generali'!B$31)))</f>
        <v>0</v>
      </c>
      <c r="C44">
        <f ca="1">IF(A44&lt;'Parametri generali'!$B$9,0,IF(A44&gt;'Parametri generali'!$B$7,0,1))</f>
        <v>1</v>
      </c>
      <c r="D44" s="109">
        <v>0.18</v>
      </c>
      <c r="E44">
        <f t="shared" ca="1" si="0"/>
        <v>0</v>
      </c>
      <c r="F44">
        <f>IF(A44&lt;'Parametri generali'!$B$9,0,B44*D44)</f>
        <v>0</v>
      </c>
      <c r="G44">
        <f t="shared" si="1"/>
        <v>0</v>
      </c>
    </row>
    <row r="45" spans="1:7" x14ac:dyDescent="0.25">
      <c r="A45">
        <v>58</v>
      </c>
      <c r="B45">
        <f>IF('PRIV-VALID.'!B$14&lt;'Parametri generali'!B$30,0,IF('PRIV-VALID.'!B$14&gt;'Parametri generali'!B$34,'Parametri generali'!B$35,IF('PRIV-VALID.'!B$14-'Parametri generali'!B$31&lt;'Parametri generali'!B$33,'Parametri generali'!B$33,'PRIV-VALID.'!B$14-'Parametri generali'!B$31)))</f>
        <v>0</v>
      </c>
      <c r="C45">
        <f ca="1">IF(A45&lt;'Parametri generali'!$B$9,0,IF(A45&gt;'Parametri generali'!$B$7,0,1))</f>
        <v>1</v>
      </c>
      <c r="D45" s="109">
        <v>0.18</v>
      </c>
      <c r="E45">
        <f t="shared" ca="1" si="0"/>
        <v>0</v>
      </c>
      <c r="F45">
        <f>IF(A45&lt;'Parametri generali'!$B$9,0,B45*D45)</f>
        <v>0</v>
      </c>
      <c r="G45">
        <f t="shared" si="1"/>
        <v>0</v>
      </c>
    </row>
    <row r="46" spans="1:7" x14ac:dyDescent="0.25">
      <c r="A46">
        <v>59</v>
      </c>
      <c r="B46">
        <f>IF('PRIV-VALID.'!B$14&lt;'Parametri generali'!B$30,0,IF('PRIV-VALID.'!B$14&gt;'Parametri generali'!B$34,'Parametri generali'!B$35,IF('PRIV-VALID.'!B$14-'Parametri generali'!B$31&lt;'Parametri generali'!B$33,'Parametri generali'!B$33,'PRIV-VALID.'!B$14-'Parametri generali'!B$31)))</f>
        <v>0</v>
      </c>
      <c r="C46">
        <f ca="1">IF(A46&lt;'Parametri generali'!$B$9,0,IF(A46&gt;'Parametri generali'!$B$7,0,1))</f>
        <v>1</v>
      </c>
      <c r="D46" s="109">
        <v>0.18</v>
      </c>
      <c r="E46">
        <f t="shared" ca="1" si="0"/>
        <v>0</v>
      </c>
      <c r="F46">
        <f>IF(A46&lt;'Parametri generali'!$B$9,0,B46*D46)</f>
        <v>0</v>
      </c>
      <c r="G46">
        <f t="shared" si="1"/>
        <v>0</v>
      </c>
    </row>
    <row r="47" spans="1:7" x14ac:dyDescent="0.25">
      <c r="A47">
        <v>60</v>
      </c>
      <c r="B47">
        <f>IF('PRIV-VALID.'!B$14&lt;'Parametri generali'!B$30,0,IF('PRIV-VALID.'!B$14&gt;'Parametri generali'!B$34,'Parametri generali'!B$35,IF('PRIV-VALID.'!B$14-'Parametri generali'!B$31&lt;'Parametri generali'!B$33,'Parametri generali'!B$33,'PRIV-VALID.'!B$14-'Parametri generali'!B$31)))</f>
        <v>0</v>
      </c>
      <c r="C47">
        <f ca="1">IF(A47&lt;'Parametri generali'!$B$9,0,IF(A47&gt;'Parametri generali'!$B$7,0,1))</f>
        <v>1</v>
      </c>
      <c r="D47" s="109">
        <v>0.18</v>
      </c>
      <c r="E47">
        <f t="shared" ca="1" si="0"/>
        <v>0</v>
      </c>
      <c r="F47">
        <f>IF(A47&lt;'Parametri generali'!$B$9,0,B47*D47)</f>
        <v>0</v>
      </c>
      <c r="G47">
        <f t="shared" si="1"/>
        <v>0</v>
      </c>
    </row>
    <row r="48" spans="1:7" x14ac:dyDescent="0.25">
      <c r="A48">
        <v>61</v>
      </c>
      <c r="B48">
        <f>IF('PRIV-VALID.'!B$14&lt;'Parametri generali'!B$30,0,IF('PRIV-VALID.'!B$14&gt;'Parametri generali'!B$34,'Parametri generali'!B$35,IF('PRIV-VALID.'!B$14-'Parametri generali'!B$31&lt;'Parametri generali'!B$33,'Parametri generali'!B$33,'PRIV-VALID.'!B$14-'Parametri generali'!B$31)))</f>
        <v>0</v>
      </c>
      <c r="C48">
        <f ca="1">IF(A48&lt;'Parametri generali'!$B$9,0,IF(A48&gt;'Parametri generali'!$B$7,0,1))</f>
        <v>1</v>
      </c>
      <c r="D48" s="109">
        <v>0.18</v>
      </c>
      <c r="E48">
        <f t="shared" ca="1" si="0"/>
        <v>0</v>
      </c>
      <c r="F48">
        <f>IF(A48&lt;'Parametri generali'!$B$9,0,B48*D48)</f>
        <v>0</v>
      </c>
      <c r="G48">
        <f t="shared" si="1"/>
        <v>0</v>
      </c>
    </row>
    <row r="49" spans="1:7" x14ac:dyDescent="0.25">
      <c r="A49">
        <v>62</v>
      </c>
      <c r="B49">
        <f>IF('PRIV-VALID.'!B$14&lt;'Parametri generali'!B$30,0,IF('PRIV-VALID.'!B$14&gt;'Parametri generali'!B$34,'Parametri generali'!B$35,IF('PRIV-VALID.'!B$14-'Parametri generali'!B$31&lt;'Parametri generali'!B$33,'Parametri generali'!B$33,'PRIV-VALID.'!B$14-'Parametri generali'!B$31)))</f>
        <v>0</v>
      </c>
      <c r="C49">
        <f ca="1">IF(A49&lt;'Parametri generali'!$B$9,0,IF(A49&gt;'Parametri generali'!$B$7,0,1))</f>
        <v>1</v>
      </c>
      <c r="D49" s="109">
        <v>0.18</v>
      </c>
      <c r="E49">
        <f t="shared" ca="1" si="0"/>
        <v>0</v>
      </c>
      <c r="F49">
        <f>IF(A49&lt;'Parametri generali'!$B$9,0,B49*D49)</f>
        <v>0</v>
      </c>
      <c r="G49">
        <f t="shared" si="1"/>
        <v>0</v>
      </c>
    </row>
    <row r="50" spans="1:7" x14ac:dyDescent="0.25">
      <c r="A50">
        <v>63</v>
      </c>
      <c r="B50">
        <f>IF('PRIV-VALID.'!B$14&lt;'Parametri generali'!B$30,0,IF('PRIV-VALID.'!B$14&gt;'Parametri generali'!B$34,'Parametri generali'!B$35,IF('PRIV-VALID.'!B$14-'Parametri generali'!B$31&lt;'Parametri generali'!B$33,'Parametri generali'!B$33,'PRIV-VALID.'!B$14-'Parametri generali'!B$31)))</f>
        <v>0</v>
      </c>
      <c r="C50">
        <f ca="1">IF(A50&lt;'Parametri generali'!$B$9,0,IF(A50&gt;'Parametri generali'!$B$7,0,1))</f>
        <v>1</v>
      </c>
      <c r="D50" s="109">
        <v>0.18</v>
      </c>
      <c r="E50">
        <f t="shared" ca="1" si="0"/>
        <v>0</v>
      </c>
      <c r="F50">
        <f>IF(A50&lt;'Parametri generali'!$B$9,0,B50*D50)</f>
        <v>0</v>
      </c>
      <c r="G50">
        <f t="shared" si="1"/>
        <v>0</v>
      </c>
    </row>
    <row r="51" spans="1:7" x14ac:dyDescent="0.25">
      <c r="A51">
        <v>64</v>
      </c>
      <c r="B51">
        <f>IF('PRIV-VALID.'!B$14&lt;'Parametri generali'!B$30,0,IF('PRIV-VALID.'!B$14&gt;'Parametri generali'!B$34,'Parametri generali'!B$35,IF('PRIV-VALID.'!B$14-'Parametri generali'!B$31&lt;'Parametri generali'!B$33,'Parametri generali'!B$33,'PRIV-VALID.'!B$14-'Parametri generali'!B$31)))</f>
        <v>0</v>
      </c>
      <c r="C51">
        <f ca="1">IF(A51&lt;'Parametri generali'!$B$9,0,IF(A51&gt;'Parametri generali'!$B$7,0,1))</f>
        <v>1</v>
      </c>
      <c r="D51" s="109">
        <v>0.18</v>
      </c>
      <c r="E51">
        <f t="shared" ca="1" si="0"/>
        <v>0</v>
      </c>
      <c r="F51">
        <f>IF(A51&lt;'Parametri generali'!$B$9,0,B51*D51)</f>
        <v>0</v>
      </c>
      <c r="G51">
        <f t="shared" si="1"/>
        <v>0</v>
      </c>
    </row>
    <row r="52" spans="1:7" x14ac:dyDescent="0.25">
      <c r="A52">
        <v>65</v>
      </c>
      <c r="B52">
        <f>IF('PRIV-VALID.'!B$14&lt;'Parametri generali'!B$30,0,IF('PRIV-VALID.'!B$14&gt;'Parametri generali'!B$34,'Parametri generali'!B$35,IF('PRIV-VALID.'!B$14-'Parametri generali'!B$31&lt;'Parametri generali'!B$33,'Parametri generali'!B$33,'PRIV-VALID.'!B$14-'Parametri generali'!B$31)))</f>
        <v>0</v>
      </c>
      <c r="C52">
        <f ca="1">IF(A52&lt;'Parametri generali'!$B$9,0,IF(A52&gt;'Parametri generali'!$B$7,0,1))</f>
        <v>1</v>
      </c>
      <c r="D52" s="109">
        <v>0.18</v>
      </c>
      <c r="E52">
        <f t="shared" ca="1" si="0"/>
        <v>0</v>
      </c>
      <c r="F52">
        <f>IF(A52&lt;'Parametri generali'!$B$9,0,B52*D52)</f>
        <v>0</v>
      </c>
      <c r="G52">
        <f t="shared" si="1"/>
        <v>0</v>
      </c>
    </row>
    <row r="53" spans="1:7" x14ac:dyDescent="0.25">
      <c r="E53">
        <f ca="1">SUM(E8:E52)</f>
        <v>0</v>
      </c>
    </row>
    <row r="56" spans="1:7" x14ac:dyDescent="0.25">
      <c r="A56" t="s">
        <v>271</v>
      </c>
      <c r="E56">
        <f ca="1">IF('Parametri generali'!B9&gt;25,'Parametri generali'!B7-'Parametri generali'!B9,'Parametri generali'!B7-25)</f>
        <v>100</v>
      </c>
    </row>
    <row r="57" spans="1:7" x14ac:dyDescent="0.25">
      <c r="A57" t="s">
        <v>272</v>
      </c>
      <c r="E57">
        <f>ANALYSIS!B45</f>
        <v>0</v>
      </c>
    </row>
    <row r="58" spans="1:7" x14ac:dyDescent="0.25">
      <c r="A58" t="s">
        <v>274</v>
      </c>
      <c r="E58">
        <f ca="1">E56-E57</f>
        <v>100</v>
      </c>
    </row>
    <row r="59" spans="1:7" x14ac:dyDescent="0.25">
      <c r="A59" t="s">
        <v>273</v>
      </c>
      <c r="E59">
        <f ca="1">IF(E58&lt;1,0,E53/E56*E58)</f>
        <v>0</v>
      </c>
    </row>
    <row r="60" spans="1:7" x14ac:dyDescent="0.25">
      <c r="A60" t="s">
        <v>275</v>
      </c>
      <c r="E60">
        <f ca="1">IF('Parametri generali'!B7&gt;49,'Calcolo simulazione LPP Cliente'!E59/2,'Calcolo simulazione LPP Cliente'!E59)</f>
        <v>0</v>
      </c>
    </row>
    <row r="61" spans="1:7" x14ac:dyDescent="0.25">
      <c r="A61" t="s">
        <v>276</v>
      </c>
      <c r="E61">
        <f>ANALYSIS!B55</f>
        <v>0</v>
      </c>
    </row>
    <row r="62" spans="1:7" x14ac:dyDescent="0.25">
      <c r="A62" t="s">
        <v>278</v>
      </c>
      <c r="E62">
        <f ca="1">IF(E60-E61&lt;0,0,E60-E61)</f>
        <v>0</v>
      </c>
    </row>
    <row r="64" spans="1:7" x14ac:dyDescent="0.25">
      <c r="A64" t="s">
        <v>279</v>
      </c>
      <c r="E64">
        <f ca="1">IF(E62&gt;20000,E62,E620)</f>
        <v>0</v>
      </c>
    </row>
    <row r="66" spans="1:5" x14ac:dyDescent="0.25">
      <c r="A66" t="s">
        <v>286</v>
      </c>
      <c r="E66" t="e">
        <f ca="1">VLOOKUP('Parametri generali'!B7,A8:E52,5,FALSE)</f>
        <v>#N/A</v>
      </c>
    </row>
    <row r="67" spans="1:5" x14ac:dyDescent="0.25">
      <c r="A67" t="s">
        <v>306</v>
      </c>
      <c r="E67">
        <f>G52*'Parametri generali'!B32</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0A82-4CCA-457D-973F-8EC1895A3D93}">
  <dimension ref="A1:F100"/>
  <sheetViews>
    <sheetView topLeftCell="A18" workbookViewId="0">
      <selection activeCell="F23" sqref="F23"/>
    </sheetView>
  </sheetViews>
  <sheetFormatPr defaultRowHeight="12.5" x14ac:dyDescent="0.25"/>
  <cols>
    <col min="1" max="1" width="42.7265625" customWidth="1"/>
    <col min="2" max="2" width="36.54296875" customWidth="1"/>
  </cols>
  <sheetData>
    <row r="1" spans="1:2" x14ac:dyDescent="0.25">
      <c r="A1" t="s">
        <v>314</v>
      </c>
    </row>
    <row r="2" spans="1:2" x14ac:dyDescent="0.25">
      <c r="A2" t="s">
        <v>315</v>
      </c>
    </row>
    <row r="5" spans="1:2" ht="15.5" x14ac:dyDescent="0.35">
      <c r="A5" s="114" t="s">
        <v>287</v>
      </c>
      <c r="B5" s="115">
        <v>1</v>
      </c>
    </row>
    <row r="6" spans="1:2" ht="15.5" x14ac:dyDescent="0.35">
      <c r="A6" s="116"/>
      <c r="B6" s="117">
        <v>2</v>
      </c>
    </row>
    <row r="7" spans="1:2" ht="15.5" x14ac:dyDescent="0.35">
      <c r="A7" s="118"/>
      <c r="B7" s="119">
        <v>3</v>
      </c>
    </row>
    <row r="8" spans="1:2" ht="15.5" x14ac:dyDescent="0.35">
      <c r="A8" s="1"/>
      <c r="B8" s="1"/>
    </row>
    <row r="9" spans="1:2" ht="15.5" x14ac:dyDescent="0.35">
      <c r="A9" s="114" t="s">
        <v>288</v>
      </c>
      <c r="B9" s="115" t="str">
        <f>Traduzioni!G173</f>
        <v>Svizzero nessun permesso</v>
      </c>
    </row>
    <row r="10" spans="1:2" ht="15.5" x14ac:dyDescent="0.35">
      <c r="A10" s="116"/>
      <c r="B10" s="117" t="s">
        <v>284</v>
      </c>
    </row>
    <row r="11" spans="1:2" ht="15.5" x14ac:dyDescent="0.35">
      <c r="A11" s="116"/>
      <c r="B11" s="117" t="s">
        <v>290</v>
      </c>
    </row>
    <row r="12" spans="1:2" ht="15.5" x14ac:dyDescent="0.35">
      <c r="A12" s="116"/>
      <c r="B12" s="117" t="s">
        <v>291</v>
      </c>
    </row>
    <row r="13" spans="1:2" ht="15.5" x14ac:dyDescent="0.35">
      <c r="A13" s="116"/>
      <c r="B13" s="117" t="s">
        <v>292</v>
      </c>
    </row>
    <row r="14" spans="1:2" ht="15.5" x14ac:dyDescent="0.35">
      <c r="A14" s="116"/>
      <c r="B14" s="117" t="s">
        <v>294</v>
      </c>
    </row>
    <row r="15" spans="1:2" ht="15.5" x14ac:dyDescent="0.35">
      <c r="A15" s="116"/>
      <c r="B15" s="117" t="s">
        <v>293</v>
      </c>
    </row>
    <row r="16" spans="1:2" ht="15.5" x14ac:dyDescent="0.35">
      <c r="A16" s="118"/>
      <c r="B16" s="119" t="s">
        <v>295</v>
      </c>
    </row>
    <row r="17" spans="1:6" ht="15.5" x14ac:dyDescent="0.35">
      <c r="A17" s="1"/>
      <c r="B17" s="1"/>
    </row>
    <row r="18" spans="1:6" ht="15.5" x14ac:dyDescent="0.35">
      <c r="A18" s="114" t="s">
        <v>296</v>
      </c>
      <c r="B18" s="115">
        <v>12</v>
      </c>
    </row>
    <row r="19" spans="1:6" ht="15.5" x14ac:dyDescent="0.35">
      <c r="A19" s="116"/>
      <c r="B19" s="117">
        <v>13</v>
      </c>
    </row>
    <row r="20" spans="1:6" ht="15.5" x14ac:dyDescent="0.35">
      <c r="A20" s="118"/>
      <c r="B20" s="119">
        <v>1</v>
      </c>
    </row>
    <row r="21" spans="1:6" ht="15.5" x14ac:dyDescent="0.35">
      <c r="A21" s="1"/>
      <c r="B21" s="1"/>
      <c r="C21" s="788" t="s">
        <v>1901</v>
      </c>
      <c r="D21" s="788"/>
      <c r="E21" s="788" t="s">
        <v>4537</v>
      </c>
      <c r="F21" s="788" t="s">
        <v>4538</v>
      </c>
    </row>
    <row r="22" spans="1:6" ht="15.5" x14ac:dyDescent="0.35">
      <c r="A22" s="114" t="s">
        <v>297</v>
      </c>
      <c r="B22" s="192" t="str">
        <f>Traduzioni!G174</f>
        <v xml:space="preserve">Dipendente </v>
      </c>
      <c r="C22" s="788">
        <v>1</v>
      </c>
      <c r="D22" s="788"/>
      <c r="E22" s="788">
        <f>VLOOKUP(ANALYSIS!B46,'Sigle per Analisi'!B22:C28,2,FALSE)</f>
        <v>0</v>
      </c>
      <c r="F22" s="788">
        <f>VLOOKUP(ANALYSIS!C46,'Sigle per Analisi'!$B22:$C28,2,FALSE)</f>
        <v>0</v>
      </c>
    </row>
    <row r="23" spans="1:6" ht="15.5" x14ac:dyDescent="0.35">
      <c r="A23" s="116"/>
      <c r="B23" s="192" t="str">
        <f>Traduzioni!G175</f>
        <v>Indipendente</v>
      </c>
      <c r="C23" s="788">
        <v>0</v>
      </c>
      <c r="D23" s="788"/>
      <c r="E23" s="788"/>
      <c r="F23" s="788"/>
    </row>
    <row r="24" spans="1:6" ht="15.5" x14ac:dyDescent="0.35">
      <c r="A24" s="116"/>
      <c r="B24" s="192" t="str">
        <f>Traduzioni!G176</f>
        <v>Disoccupazione</v>
      </c>
      <c r="C24" s="788">
        <v>1</v>
      </c>
      <c r="D24" s="788"/>
      <c r="E24" s="788"/>
      <c r="F24" s="788"/>
    </row>
    <row r="25" spans="1:6" ht="15.5" x14ac:dyDescent="0.35">
      <c r="A25" s="116"/>
      <c r="B25" s="192" t="str">
        <f>Traduzioni!G177</f>
        <v xml:space="preserve">Rendita / Pensione </v>
      </c>
      <c r="C25" s="788">
        <v>0</v>
      </c>
      <c r="D25" s="788"/>
      <c r="E25" s="788"/>
      <c r="F25" s="788"/>
    </row>
    <row r="26" spans="1:6" ht="15.5" x14ac:dyDescent="0.35">
      <c r="A26" s="116"/>
      <c r="B26" s="192" t="str">
        <f>Traduzioni!G178</f>
        <v xml:space="preserve">Nessun reddito </v>
      </c>
      <c r="C26" s="788">
        <v>0</v>
      </c>
      <c r="D26" s="788"/>
      <c r="E26" s="788"/>
      <c r="F26" s="788"/>
    </row>
    <row r="27" spans="1:6" ht="15.5" x14ac:dyDescent="0.35">
      <c r="A27" s="118"/>
      <c r="B27" s="192" t="str">
        <f>Traduzioni!G179</f>
        <v xml:space="preserve">Altro </v>
      </c>
      <c r="C27" s="788">
        <v>0</v>
      </c>
      <c r="D27" s="788"/>
      <c r="E27" s="788"/>
      <c r="F27" s="788"/>
    </row>
    <row r="28" spans="1:6" ht="15.5" x14ac:dyDescent="0.35">
      <c r="A28" s="114"/>
      <c r="B28" s="115">
        <v>0</v>
      </c>
    </row>
    <row r="29" spans="1:6" ht="15.5" x14ac:dyDescent="0.35">
      <c r="A29" s="116" t="s">
        <v>298</v>
      </c>
      <c r="B29" s="117" t="str">
        <f>Traduzioni!G180</f>
        <v xml:space="preserve">Fumatore </v>
      </c>
    </row>
    <row r="30" spans="1:6" ht="15.5" x14ac:dyDescent="0.35">
      <c r="A30" s="118"/>
      <c r="B30" s="117" t="str">
        <f>Traduzioni!G181</f>
        <v xml:space="preserve">Non Fumatore </v>
      </c>
    </row>
    <row r="31" spans="1:6" ht="15.5" x14ac:dyDescent="0.35">
      <c r="A31" s="1"/>
      <c r="B31" s="1"/>
    </row>
    <row r="32" spans="1:6" ht="15.5" x14ac:dyDescent="0.35">
      <c r="A32" s="1" t="s">
        <v>299</v>
      </c>
      <c r="B32" s="1">
        <v>0</v>
      </c>
    </row>
    <row r="33" spans="1:2" ht="15.5" x14ac:dyDescent="0.35">
      <c r="A33" s="1"/>
      <c r="B33" s="1">
        <v>1</v>
      </c>
    </row>
    <row r="34" spans="1:2" x14ac:dyDescent="0.25">
      <c r="A34" t="s">
        <v>316</v>
      </c>
      <c r="B34">
        <v>0</v>
      </c>
    </row>
    <row r="35" spans="1:2" ht="15.5" x14ac:dyDescent="0.35">
      <c r="B35" s="1">
        <v>1</v>
      </c>
    </row>
    <row r="37" spans="1:2" x14ac:dyDescent="0.25">
      <c r="B37" t="s">
        <v>512</v>
      </c>
    </row>
    <row r="38" spans="1:2" x14ac:dyDescent="0.25">
      <c r="A38" t="s">
        <v>317</v>
      </c>
      <c r="B38" t="str">
        <f>Traduzioni!G182</f>
        <v>10 - Priorità massima</v>
      </c>
    </row>
    <row r="39" spans="1:2" x14ac:dyDescent="0.25">
      <c r="B39" t="str">
        <f>Traduzioni!G183</f>
        <v>9 - Molto Importante</v>
      </c>
    </row>
    <row r="40" spans="1:2" x14ac:dyDescent="0.25">
      <c r="B40" t="str">
        <f>Traduzioni!G184</f>
        <v xml:space="preserve">8 - Importante </v>
      </c>
    </row>
    <row r="41" spans="1:2" x14ac:dyDescent="0.25">
      <c r="B41" t="str">
        <f>Traduzioni!G185</f>
        <v>7 - Sarebbe bello</v>
      </c>
    </row>
    <row r="42" spans="1:2" x14ac:dyDescent="0.25">
      <c r="B42" t="str">
        <f>Traduzioni!G186</f>
        <v>6 - Non mi dispiacerebbe</v>
      </c>
    </row>
    <row r="43" spans="1:2" x14ac:dyDescent="0.25">
      <c r="B43" t="str">
        <f>Traduzioni!G187</f>
        <v xml:space="preserve">5 - Perché no </v>
      </c>
    </row>
    <row r="44" spans="1:2" x14ac:dyDescent="0.25">
      <c r="B44" t="str">
        <f>Traduzioni!G188</f>
        <v xml:space="preserve">4 - Come ultima cosa </v>
      </c>
    </row>
    <row r="45" spans="1:2" x14ac:dyDescent="0.25">
      <c r="B45" t="str">
        <f>Traduzioni!G189</f>
        <v>3 - Indifferente</v>
      </c>
    </row>
    <row r="46" spans="1:2" x14ac:dyDescent="0.25">
      <c r="B46" t="str">
        <f>Traduzioni!G190</f>
        <v xml:space="preserve">2 - Non importante </v>
      </c>
    </row>
    <row r="47" spans="1:2" x14ac:dyDescent="0.25">
      <c r="B47" t="str">
        <f>Traduzioni!G191</f>
        <v xml:space="preserve">1 -  Non interessa </v>
      </c>
    </row>
    <row r="48" spans="1:2" x14ac:dyDescent="0.25">
      <c r="B48" t="str">
        <f>Traduzioni!G192</f>
        <v xml:space="preserve">0 - Non trattare </v>
      </c>
    </row>
    <row r="51" spans="1:2" x14ac:dyDescent="0.25">
      <c r="A51" t="s">
        <v>318</v>
      </c>
      <c r="B51">
        <v>1</v>
      </c>
    </row>
    <row r="52" spans="1:2" x14ac:dyDescent="0.25">
      <c r="B52">
        <v>2</v>
      </c>
    </row>
    <row r="53" spans="1:2" x14ac:dyDescent="0.25">
      <c r="B53">
        <v>3</v>
      </c>
    </row>
    <row r="56" spans="1:2" x14ac:dyDescent="0.25">
      <c r="A56" t="s">
        <v>319</v>
      </c>
      <c r="B56" t="str">
        <f>Traduzioni!G193</f>
        <v xml:space="preserve">Imposta alla fonte </v>
      </c>
    </row>
    <row r="57" spans="1:2" x14ac:dyDescent="0.25">
      <c r="B57" t="str">
        <f>Traduzioni!G194</f>
        <v xml:space="preserve">Tassazione ordinaria </v>
      </c>
    </row>
    <row r="58" spans="1:2" x14ac:dyDescent="0.25">
      <c r="B58" t="str">
        <f>Traduzioni!G195</f>
        <v xml:space="preserve">Imposta alla fonte con tassazione ordinaria volontaria </v>
      </c>
    </row>
    <row r="59" spans="1:2" x14ac:dyDescent="0.25">
      <c r="B59" t="str">
        <f>Traduzioni!G196</f>
        <v>Imposta alla fonte con tassazione ordinaria obbligatoria</v>
      </c>
    </row>
    <row r="62" spans="1:2" x14ac:dyDescent="0.25">
      <c r="A62" t="s">
        <v>320</v>
      </c>
      <c r="B62" t="str">
        <f>Traduzioni!G197</f>
        <v>SI</v>
      </c>
    </row>
    <row r="63" spans="1:2" x14ac:dyDescent="0.25">
      <c r="B63" t="str">
        <f>Traduzioni!G198</f>
        <v>NO</v>
      </c>
    </row>
    <row r="65" spans="1:3" x14ac:dyDescent="0.25">
      <c r="A65" t="s">
        <v>325</v>
      </c>
      <c r="B65" t="str">
        <f>Traduzioni!G199</f>
        <v>Nessuno</v>
      </c>
      <c r="C65">
        <v>0</v>
      </c>
    </row>
    <row r="66" spans="1:3" x14ac:dyDescent="0.25">
      <c r="B66" t="str">
        <f>Traduzioni!G200</f>
        <v>Scuola professionale</v>
      </c>
      <c r="C66">
        <v>5000</v>
      </c>
    </row>
    <row r="67" spans="1:3" x14ac:dyDescent="0.25">
      <c r="B67" t="str">
        <f>Traduzioni!G201</f>
        <v>Scuola professionale superiore</v>
      </c>
      <c r="C67">
        <v>10000</v>
      </c>
    </row>
    <row r="68" spans="1:3" x14ac:dyDescent="0.25">
      <c r="B68" t="str">
        <f>Traduzioni!G202</f>
        <v>Università</v>
      </c>
      <c r="C68">
        <v>20000</v>
      </c>
    </row>
    <row r="70" spans="1:3" x14ac:dyDescent="0.25">
      <c r="A70" t="s">
        <v>323</v>
      </c>
      <c r="B70" t="str">
        <f>Traduzioni!G203</f>
        <v>Cantone di domicilio</v>
      </c>
      <c r="C70">
        <v>0</v>
      </c>
    </row>
    <row r="71" spans="1:3" x14ac:dyDescent="0.25">
      <c r="B71" t="str">
        <f>Traduzioni!G204</f>
        <v xml:space="preserve">Fuori Cantone </v>
      </c>
      <c r="C71">
        <v>15000</v>
      </c>
    </row>
    <row r="74" spans="1:3" x14ac:dyDescent="0.25">
      <c r="A74" t="s">
        <v>365</v>
      </c>
      <c r="B74" t="str">
        <f>Traduzioni!G61</f>
        <v xml:space="preserve">Indennità Giorn.x infort % SUL REDDITO </v>
      </c>
    </row>
    <row r="75" spans="1:3" x14ac:dyDescent="0.25">
      <c r="B75" t="str">
        <f>Traduzioni!G62</f>
        <v xml:space="preserve">Indennità Giorn.x malattia % SUL REDDITO </v>
      </c>
    </row>
    <row r="78" spans="1:3" x14ac:dyDescent="0.25">
      <c r="A78" t="s">
        <v>370</v>
      </c>
    </row>
    <row r="79" spans="1:3" x14ac:dyDescent="0.25">
      <c r="A79" t="s">
        <v>374</v>
      </c>
      <c r="B79" t="str">
        <f>Traduzioni!G205</f>
        <v>50% max CHF 500.--</v>
      </c>
    </row>
    <row r="80" spans="1:3" x14ac:dyDescent="0.25">
      <c r="A80" t="s">
        <v>375</v>
      </c>
      <c r="B80" t="str">
        <f>Traduzioni!G206</f>
        <v>50% max CHF 2000.--</v>
      </c>
    </row>
    <row r="81" spans="1:2" x14ac:dyDescent="0.25">
      <c r="A81" t="s">
        <v>376</v>
      </c>
      <c r="B81" t="str">
        <f>Traduzioni!G207</f>
        <v>50% max CHF 1500.--</v>
      </c>
    </row>
    <row r="82" spans="1:2" x14ac:dyDescent="0.25">
      <c r="A82" t="s">
        <v>377</v>
      </c>
      <c r="B82" t="str">
        <f>Traduzioni!G208</f>
        <v>50% max 30 g./anno</v>
      </c>
    </row>
    <row r="83" spans="1:2" x14ac:dyDescent="0.25">
      <c r="A83" t="s">
        <v>378</v>
      </c>
      <c r="B83" t="str">
        <f>Traduzioni!G209</f>
        <v>90% / 3 anno</v>
      </c>
    </row>
    <row r="84" spans="1:2" x14ac:dyDescent="0.25">
      <c r="A84" t="s">
        <v>381</v>
      </c>
      <c r="B84" t="str">
        <f>Traduzioni!G210</f>
        <v>90% Illimitato</v>
      </c>
    </row>
    <row r="85" spans="1:2" x14ac:dyDescent="0.25">
      <c r="A85" t="s">
        <v>389</v>
      </c>
      <c r="B85" t="str">
        <f>Traduzioni!G211</f>
        <v>0.-- per gen., farm., med. Tel.</v>
      </c>
    </row>
    <row r="86" spans="1:2" x14ac:dyDescent="0.25">
      <c r="A86" t="s">
        <v>208</v>
      </c>
      <c r="B86" t="str">
        <f>Traduzioni!G212</f>
        <v>60% illimitato</v>
      </c>
    </row>
    <row r="87" spans="1:2" x14ac:dyDescent="0.25">
      <c r="A87" t="s">
        <v>392</v>
      </c>
      <c r="B87" t="str">
        <f>Traduzioni!G213</f>
        <v>90% illimitato</v>
      </c>
    </row>
    <row r="88" spans="1:2" x14ac:dyDescent="0.25">
      <c r="A88" t="s">
        <v>367</v>
      </c>
      <c r="B88" t="str">
        <f>Traduzioni!G214</f>
        <v>90% Illimitato</v>
      </c>
    </row>
    <row r="89" spans="1:2" x14ac:dyDescent="0.25">
      <c r="A89" t="s">
        <v>207</v>
      </c>
      <c r="B89" t="str">
        <f>Traduzioni!G215</f>
        <v>CHf 200.-- / a.-J.</v>
      </c>
    </row>
    <row r="90" spans="1:2" x14ac:dyDescent="0.25">
      <c r="A90" t="s">
        <v>393</v>
      </c>
      <c r="B90" t="str">
        <f>Traduzioni!G216</f>
        <v>CHf 200.-- / 3 anno</v>
      </c>
    </row>
    <row r="91" spans="1:2" x14ac:dyDescent="0.25">
      <c r="A91" t="s">
        <v>394</v>
      </c>
      <c r="B91" t="str">
        <f>Traduzioni!G217</f>
        <v>100% CH + MONDO</v>
      </c>
    </row>
    <row r="92" spans="1:2" x14ac:dyDescent="0.25">
      <c r="A92" t="s">
        <v>2800</v>
      </c>
      <c r="B92" t="s">
        <v>2805</v>
      </c>
    </row>
    <row r="95" spans="1:2" x14ac:dyDescent="0.25">
      <c r="A95" t="s">
        <v>467</v>
      </c>
      <c r="B95" t="s">
        <v>481</v>
      </c>
    </row>
    <row r="96" spans="1:2" x14ac:dyDescent="0.25">
      <c r="B96" t="s">
        <v>483</v>
      </c>
    </row>
    <row r="97" spans="2:2" x14ac:dyDescent="0.25">
      <c r="B97" t="s">
        <v>482</v>
      </c>
    </row>
    <row r="98" spans="2:2" x14ac:dyDescent="0.25">
      <c r="B98" t="s">
        <v>484</v>
      </c>
    </row>
    <row r="99" spans="2:2" x14ac:dyDescent="0.25">
      <c r="B99" t="s">
        <v>485</v>
      </c>
    </row>
    <row r="100" spans="2:2" x14ac:dyDescent="0.25">
      <c r="B100" t="s">
        <v>486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0D8CF-5BA2-4A9E-AB83-7AD66F1B0C41}">
  <dimension ref="A1:C65"/>
  <sheetViews>
    <sheetView workbookViewId="0">
      <selection activeCell="C25" sqref="C25"/>
    </sheetView>
  </sheetViews>
  <sheetFormatPr defaultColWidth="9.7265625" defaultRowHeight="15.5" x14ac:dyDescent="0.35"/>
  <cols>
    <col min="1" max="1" width="32" style="1" customWidth="1"/>
    <col min="2" max="2" width="24.26953125" style="1" customWidth="1"/>
    <col min="3" max="3" width="19.26953125" style="1" customWidth="1"/>
    <col min="4" max="16384" width="9.7265625" style="1"/>
  </cols>
  <sheetData>
    <row r="1" spans="1:3" s="2" customFormat="1" ht="13" x14ac:dyDescent="0.3">
      <c r="A1" s="50" t="s">
        <v>201</v>
      </c>
      <c r="B1" s="910">
        <f>ANALYSIS!F112</f>
        <v>0</v>
      </c>
      <c r="C1" s="910"/>
    </row>
    <row r="2" spans="1:3" s="2" customFormat="1" ht="13" x14ac:dyDescent="0.3">
      <c r="A2" s="50" t="s">
        <v>33</v>
      </c>
      <c r="B2" s="910"/>
      <c r="C2" s="910"/>
    </row>
    <row r="3" spans="1:3" s="2" customFormat="1" ht="13" x14ac:dyDescent="0.3">
      <c r="A3" s="51" t="s">
        <v>32</v>
      </c>
      <c r="B3" s="910"/>
      <c r="C3" s="910"/>
    </row>
    <row r="4" spans="1:3" s="2" customFormat="1" ht="13" x14ac:dyDescent="0.3">
      <c r="A4" s="50" t="s">
        <v>2</v>
      </c>
      <c r="B4" s="911"/>
      <c r="C4" s="911"/>
    </row>
    <row r="5" spans="1:3" s="2" customFormat="1" ht="13" x14ac:dyDescent="0.3">
      <c r="A5" s="52"/>
    </row>
    <row r="6" spans="1:3" s="2" customFormat="1" ht="13" x14ac:dyDescent="0.3"/>
    <row r="7" spans="1:3" s="2" customFormat="1" ht="13" x14ac:dyDescent="0.3">
      <c r="A7" s="59" t="s">
        <v>202</v>
      </c>
      <c r="B7" s="59" t="str">
        <f>Traduzioni!$G$227</f>
        <v>Copertura</v>
      </c>
      <c r="C7" s="59" t="str">
        <f>Traduzioni!$G$228</f>
        <v>Rischio Spese</v>
      </c>
    </row>
    <row r="8" spans="1:3" s="2" customFormat="1" ht="13" x14ac:dyDescent="0.3">
      <c r="A8" s="99" t="s">
        <v>209</v>
      </c>
      <c r="B8" s="97">
        <v>1</v>
      </c>
      <c r="C8" s="97">
        <f t="shared" ref="C8:C20" si="0">1-B8</f>
        <v>0</v>
      </c>
    </row>
    <row r="9" spans="1:3" s="2" customFormat="1" ht="13" x14ac:dyDescent="0.3">
      <c r="A9" s="59" t="str">
        <f>ANALYSIS!A122</f>
        <v xml:space="preserve">Libera scelta medici e ospedali </v>
      </c>
      <c r="B9" s="97">
        <f>ANALYSIS!F122</f>
        <v>0</v>
      </c>
      <c r="C9" s="97">
        <f t="shared" si="0"/>
        <v>1</v>
      </c>
    </row>
    <row r="10" spans="1:3" s="2" customFormat="1" ht="13" x14ac:dyDescent="0.3">
      <c r="A10" s="59" t="str">
        <f>ANALYSIS!A123</f>
        <v>Privata/semiprivata</v>
      </c>
      <c r="B10" s="97">
        <f>ANALYSIS!F123</f>
        <v>0</v>
      </c>
      <c r="C10" s="97">
        <f t="shared" si="0"/>
        <v>1</v>
      </c>
    </row>
    <row r="11" spans="1:3" s="2" customFormat="1" ht="13" x14ac:dyDescent="0.3">
      <c r="A11" s="59" t="str">
        <f>ANALYSIS!A124</f>
        <v xml:space="preserve">Dentistista </v>
      </c>
      <c r="B11" s="97">
        <f>ANALYSIS!F124</f>
        <v>0</v>
      </c>
      <c r="C11" s="97">
        <f t="shared" si="0"/>
        <v>1</v>
      </c>
    </row>
    <row r="12" spans="1:3" s="2" customFormat="1" ht="13" x14ac:dyDescent="0.3">
      <c r="A12" s="59" t="str">
        <f>ANALYSIS!A125</f>
        <v>Fitness</v>
      </c>
      <c r="B12" s="97">
        <f>ANALYSIS!F125</f>
        <v>0</v>
      </c>
      <c r="C12" s="97">
        <f t="shared" si="0"/>
        <v>1</v>
      </c>
    </row>
    <row r="13" spans="1:3" s="2" customFormat="1" ht="13" x14ac:dyDescent="0.3">
      <c r="A13" s="59" t="str">
        <f>ANALYSIS!A126</f>
        <v xml:space="preserve">Occhiali e Lenti a contatto </v>
      </c>
      <c r="B13" s="97">
        <f>ANALYSIS!F126</f>
        <v>0</v>
      </c>
      <c r="C13" s="97">
        <f t="shared" si="0"/>
        <v>1</v>
      </c>
    </row>
    <row r="14" spans="1:3" s="2" customFormat="1" ht="13" x14ac:dyDescent="0.3">
      <c r="A14" s="59" t="str">
        <f>ANALYSIS!A127</f>
        <v xml:space="preserve">Assistenza domiciliare </v>
      </c>
      <c r="B14" s="97">
        <f>ANALYSIS!F127</f>
        <v>0</v>
      </c>
      <c r="C14" s="97">
        <f t="shared" si="0"/>
        <v>1</v>
      </c>
    </row>
    <row r="15" spans="1:3" s="2" customFormat="1" ht="13" x14ac:dyDescent="0.3">
      <c r="A15" s="59" t="str">
        <f>ANALYSIS!A128</f>
        <v>Chec-kup</v>
      </c>
      <c r="B15" s="97">
        <f>ANALYSIS!F128</f>
        <v>0</v>
      </c>
      <c r="C15" s="97">
        <f t="shared" si="0"/>
        <v>1</v>
      </c>
    </row>
    <row r="16" spans="1:3" s="2" customFormat="1" ht="13" x14ac:dyDescent="0.3">
      <c r="A16" s="59" t="str">
        <f>ANALYSIS!A129</f>
        <v xml:space="preserve">Prevenzione ginecologica </v>
      </c>
      <c r="B16" s="97">
        <f>ANALYSIS!F129</f>
        <v>0</v>
      </c>
      <c r="C16" s="97">
        <f t="shared" si="0"/>
        <v>1</v>
      </c>
    </row>
    <row r="17" spans="1:3" s="2" customFormat="1" ht="13" x14ac:dyDescent="0.3">
      <c r="A17" s="59" t="str">
        <f>ANALYSIS!A130</f>
        <v xml:space="preserve">Trasporto e salvataggio </v>
      </c>
      <c r="B17" s="97">
        <f>ANALYSIS!F130</f>
        <v>0</v>
      </c>
      <c r="C17" s="97">
        <f t="shared" si="0"/>
        <v>1</v>
      </c>
    </row>
    <row r="18" spans="1:3" s="2" customFormat="1" ht="13" x14ac:dyDescent="0.3">
      <c r="A18" s="59" t="str">
        <f>ANALYSIS!A131</f>
        <v xml:space="preserve">Medicina alternativa </v>
      </c>
      <c r="B18" s="97">
        <f>ANALYSIS!F131</f>
        <v>0</v>
      </c>
      <c r="C18" s="97">
        <f t="shared" si="0"/>
        <v>1</v>
      </c>
    </row>
    <row r="19" spans="1:3" s="2" customFormat="1" ht="13" x14ac:dyDescent="0.3">
      <c r="A19" s="59" t="str">
        <f>ANALYSIS!A132</f>
        <v xml:space="preserve">Medicianli fuorilista </v>
      </c>
      <c r="B19" s="97">
        <f>ANALYSIS!F132</f>
        <v>0</v>
      </c>
      <c r="C19" s="97">
        <f t="shared" si="0"/>
        <v>1</v>
      </c>
    </row>
    <row r="20" spans="1:3" s="2" customFormat="1" ht="13" x14ac:dyDescent="0.3">
      <c r="A20" s="59" t="str">
        <f>ANALYSIS!A133</f>
        <v xml:space="preserve">Altro </v>
      </c>
      <c r="B20" s="97">
        <f>ANALYSIS!F133</f>
        <v>0</v>
      </c>
      <c r="C20" s="97">
        <f t="shared" si="0"/>
        <v>1</v>
      </c>
    </row>
    <row r="21" spans="1:3" s="2" customFormat="1" ht="13" x14ac:dyDescent="0.3">
      <c r="B21" s="98"/>
      <c r="C21" s="98"/>
    </row>
    <row r="22" spans="1:3" s="2" customFormat="1" ht="13" x14ac:dyDescent="0.3">
      <c r="A22" s="59" t="s">
        <v>205</v>
      </c>
      <c r="B22" s="97" t="str">
        <f>B7</f>
        <v>Copertura</v>
      </c>
      <c r="C22" s="97" t="str">
        <f>C7</f>
        <v>Rischio Spese</v>
      </c>
    </row>
    <row r="23" spans="1:3" s="2" customFormat="1" ht="13" x14ac:dyDescent="0.3">
      <c r="A23" s="59" t="str">
        <f>A8</f>
        <v>Base (LAMAL)</v>
      </c>
      <c r="B23" s="97">
        <v>1</v>
      </c>
      <c r="C23" s="97">
        <f t="shared" ref="C23:C33" si="1">1-B23</f>
        <v>0</v>
      </c>
    </row>
    <row r="24" spans="1:3" s="2" customFormat="1" ht="13" x14ac:dyDescent="0.3">
      <c r="A24" s="59" t="str">
        <f>A9</f>
        <v xml:space="preserve">Libera scelta medici e ospedali </v>
      </c>
      <c r="B24" s="97">
        <f>ANALYSIS!I122</f>
        <v>1</v>
      </c>
      <c r="C24" s="97">
        <f t="shared" si="1"/>
        <v>0</v>
      </c>
    </row>
    <row r="25" spans="1:3" s="2" customFormat="1" ht="13" x14ac:dyDescent="0.3">
      <c r="A25" s="59" t="str">
        <f>A10</f>
        <v>Privata/semiprivata</v>
      </c>
      <c r="B25" s="97">
        <f>ANALYSIS!I123</f>
        <v>1</v>
      </c>
      <c r="C25" s="97">
        <f t="shared" si="1"/>
        <v>0</v>
      </c>
    </row>
    <row r="26" spans="1:3" s="2" customFormat="1" ht="13" x14ac:dyDescent="0.3">
      <c r="A26" s="59" t="str">
        <f>A11</f>
        <v xml:space="preserve">Dentistista </v>
      </c>
      <c r="B26" s="97">
        <f>ANALYSIS!I124</f>
        <v>1</v>
      </c>
      <c r="C26" s="97">
        <f t="shared" si="1"/>
        <v>0</v>
      </c>
    </row>
    <row r="27" spans="1:3" s="2" customFormat="1" ht="13" x14ac:dyDescent="0.3">
      <c r="A27" s="59" t="str">
        <f>A12</f>
        <v>Fitness</v>
      </c>
      <c r="B27" s="97">
        <f>ANALYSIS!I125</f>
        <v>1</v>
      </c>
      <c r="C27" s="97">
        <f t="shared" si="1"/>
        <v>0</v>
      </c>
    </row>
    <row r="28" spans="1:3" s="2" customFormat="1" ht="13" x14ac:dyDescent="0.3">
      <c r="A28" s="59" t="str">
        <f t="shared" ref="A28:A35" si="2">A13</f>
        <v xml:space="preserve">Occhiali e Lenti a contatto </v>
      </c>
      <c r="B28" s="97">
        <f>ANALYSIS!I126</f>
        <v>1</v>
      </c>
      <c r="C28" s="97">
        <f t="shared" si="1"/>
        <v>0</v>
      </c>
    </row>
    <row r="29" spans="1:3" s="2" customFormat="1" ht="13" x14ac:dyDescent="0.3">
      <c r="A29" s="59" t="str">
        <f t="shared" si="2"/>
        <v xml:space="preserve">Assistenza domiciliare </v>
      </c>
      <c r="B29" s="97">
        <f>ANALYSIS!I127</f>
        <v>1</v>
      </c>
      <c r="C29" s="97">
        <f t="shared" si="1"/>
        <v>0</v>
      </c>
    </row>
    <row r="30" spans="1:3" s="2" customFormat="1" ht="13" x14ac:dyDescent="0.3">
      <c r="A30" s="59" t="str">
        <f t="shared" si="2"/>
        <v>Chec-kup</v>
      </c>
      <c r="B30" s="97">
        <f>ANALYSIS!I128</f>
        <v>1</v>
      </c>
      <c r="C30" s="97">
        <f t="shared" si="1"/>
        <v>0</v>
      </c>
    </row>
    <row r="31" spans="1:3" s="2" customFormat="1" ht="13" x14ac:dyDescent="0.3">
      <c r="A31" s="59" t="str">
        <f t="shared" si="2"/>
        <v xml:space="preserve">Prevenzione ginecologica </v>
      </c>
      <c r="B31" s="97">
        <f>ANALYSIS!I129</f>
        <v>1</v>
      </c>
      <c r="C31" s="97">
        <f t="shared" si="1"/>
        <v>0</v>
      </c>
    </row>
    <row r="32" spans="1:3" s="2" customFormat="1" ht="13" x14ac:dyDescent="0.3">
      <c r="A32" s="59" t="str">
        <f t="shared" si="2"/>
        <v xml:space="preserve">Trasporto e salvataggio </v>
      </c>
      <c r="B32" s="97">
        <f>ANALYSIS!I130</f>
        <v>1</v>
      </c>
      <c r="C32" s="97">
        <f t="shared" si="1"/>
        <v>0</v>
      </c>
    </row>
    <row r="33" spans="1:3" s="2" customFormat="1" ht="13" x14ac:dyDescent="0.3">
      <c r="A33" s="59" t="str">
        <f t="shared" si="2"/>
        <v xml:space="preserve">Medicina alternativa </v>
      </c>
      <c r="B33" s="97">
        <f>ANALYSIS!I131</f>
        <v>1</v>
      </c>
      <c r="C33" s="97">
        <f t="shared" si="1"/>
        <v>0</v>
      </c>
    </row>
    <row r="34" spans="1:3" s="2" customFormat="1" ht="13" x14ac:dyDescent="0.3">
      <c r="A34" s="59" t="str">
        <f t="shared" si="2"/>
        <v xml:space="preserve">Medicianli fuorilista </v>
      </c>
      <c r="B34" s="97">
        <f>ANALYSIS!I132</f>
        <v>1</v>
      </c>
      <c r="C34" s="97">
        <f>1-B34</f>
        <v>0</v>
      </c>
    </row>
    <row r="35" spans="1:3" s="2" customFormat="1" ht="13" x14ac:dyDescent="0.3">
      <c r="A35" s="59" t="str">
        <f t="shared" si="2"/>
        <v xml:space="preserve">Altro </v>
      </c>
      <c r="B35" s="97">
        <f>ANALYSIS!I133</f>
        <v>1</v>
      </c>
      <c r="C35" s="97">
        <f>1-B35</f>
        <v>0</v>
      </c>
    </row>
    <row r="36" spans="1:3" s="2" customFormat="1" ht="13" x14ac:dyDescent="0.3"/>
    <row r="37" spans="1:3" s="2" customFormat="1" ht="13" x14ac:dyDescent="0.3">
      <c r="A37" s="59" t="s">
        <v>202</v>
      </c>
      <c r="B37" s="59" t="str">
        <f>Traduzioni!$G$227</f>
        <v>Copertura</v>
      </c>
      <c r="C37" s="59" t="str">
        <f>Traduzioni!$G$228</f>
        <v>Rischio Spese</v>
      </c>
    </row>
    <row r="38" spans="1:3" s="2" customFormat="1" ht="13" x14ac:dyDescent="0.3">
      <c r="A38" s="59" t="str">
        <f>A20</f>
        <v xml:space="preserve">Altro </v>
      </c>
      <c r="B38" s="97">
        <f>B20</f>
        <v>0</v>
      </c>
      <c r="C38" s="97">
        <f>C20</f>
        <v>1</v>
      </c>
    </row>
    <row r="39" spans="1:3" s="2" customFormat="1" ht="13" x14ac:dyDescent="0.3">
      <c r="A39" s="59" t="str">
        <f>A19</f>
        <v xml:space="preserve">Medicianli fuorilista </v>
      </c>
      <c r="B39" s="97">
        <f>B19</f>
        <v>0</v>
      </c>
      <c r="C39" s="97">
        <f>C19</f>
        <v>1</v>
      </c>
    </row>
    <row r="40" spans="1:3" s="2" customFormat="1" ht="13" x14ac:dyDescent="0.3">
      <c r="A40" s="59" t="str">
        <f>A18</f>
        <v xml:space="preserve">Medicina alternativa </v>
      </c>
      <c r="B40" s="59">
        <f>B18</f>
        <v>0</v>
      </c>
      <c r="C40" s="59">
        <f>C18</f>
        <v>1</v>
      </c>
    </row>
    <row r="41" spans="1:3" s="2" customFormat="1" ht="13" x14ac:dyDescent="0.3">
      <c r="A41" s="59" t="str">
        <f>A17</f>
        <v xml:space="preserve">Trasporto e salvataggio </v>
      </c>
      <c r="B41" s="59">
        <f>B17</f>
        <v>0</v>
      </c>
      <c r="C41" s="59">
        <f>C17</f>
        <v>1</v>
      </c>
    </row>
    <row r="42" spans="1:3" s="2" customFormat="1" ht="13" x14ac:dyDescent="0.3">
      <c r="A42" s="59" t="str">
        <f>A16</f>
        <v xml:space="preserve">Prevenzione ginecologica </v>
      </c>
      <c r="B42" s="59">
        <f>B16</f>
        <v>0</v>
      </c>
      <c r="C42" s="59">
        <f>C16</f>
        <v>1</v>
      </c>
    </row>
    <row r="43" spans="1:3" s="2" customFormat="1" ht="13" x14ac:dyDescent="0.3">
      <c r="A43" s="59" t="str">
        <f>A15</f>
        <v>Chec-kup</v>
      </c>
      <c r="B43" s="97">
        <f>B15</f>
        <v>0</v>
      </c>
      <c r="C43" s="97">
        <f>C15</f>
        <v>1</v>
      </c>
    </row>
    <row r="44" spans="1:3" s="2" customFormat="1" ht="13" x14ac:dyDescent="0.3">
      <c r="A44" s="59" t="str">
        <f>A14</f>
        <v xml:space="preserve">Assistenza domiciliare </v>
      </c>
      <c r="B44" s="97">
        <f>B14</f>
        <v>0</v>
      </c>
      <c r="C44" s="97">
        <f>C14</f>
        <v>1</v>
      </c>
    </row>
    <row r="45" spans="1:3" s="2" customFormat="1" ht="13" x14ac:dyDescent="0.3">
      <c r="A45" s="59" t="str">
        <f>A13</f>
        <v xml:space="preserve">Occhiali e Lenti a contatto </v>
      </c>
      <c r="B45" s="97">
        <f>B13</f>
        <v>0</v>
      </c>
      <c r="C45" s="97">
        <f>C13</f>
        <v>1</v>
      </c>
    </row>
    <row r="46" spans="1:3" s="2" customFormat="1" ht="13" x14ac:dyDescent="0.3">
      <c r="A46" s="59" t="str">
        <f>A12</f>
        <v>Fitness</v>
      </c>
      <c r="B46" s="59">
        <f>B12</f>
        <v>0</v>
      </c>
      <c r="C46" s="59">
        <f>C12</f>
        <v>1</v>
      </c>
    </row>
    <row r="47" spans="1:3" s="2" customFormat="1" ht="13" x14ac:dyDescent="0.3">
      <c r="A47" s="59" t="str">
        <f>A11</f>
        <v xml:space="preserve">Dentistista </v>
      </c>
      <c r="B47" s="59">
        <f>B11</f>
        <v>0</v>
      </c>
      <c r="C47" s="59">
        <f>C11</f>
        <v>1</v>
      </c>
    </row>
    <row r="48" spans="1:3" x14ac:dyDescent="0.35">
      <c r="A48" s="59" t="str">
        <f>A10</f>
        <v>Privata/semiprivata</v>
      </c>
      <c r="B48" s="59">
        <f>B10</f>
        <v>0</v>
      </c>
      <c r="C48" s="59">
        <f>C10</f>
        <v>1</v>
      </c>
    </row>
    <row r="49" spans="1:3" x14ac:dyDescent="0.35">
      <c r="A49" s="59" t="str">
        <f>A9</f>
        <v xml:space="preserve">Libera scelta medici e ospedali </v>
      </c>
      <c r="B49" s="59">
        <f>B9</f>
        <v>0</v>
      </c>
      <c r="C49" s="59">
        <f>C9</f>
        <v>1</v>
      </c>
    </row>
    <row r="50" spans="1:3" x14ac:dyDescent="0.35">
      <c r="A50" s="59" t="str">
        <f>A8</f>
        <v>Base (LAMAL)</v>
      </c>
      <c r="B50" s="59">
        <f>B8</f>
        <v>1</v>
      </c>
      <c r="C50" s="59">
        <f>C8</f>
        <v>0</v>
      </c>
    </row>
    <row r="52" spans="1:3" x14ac:dyDescent="0.35">
      <c r="A52" s="59" t="str">
        <f>A22</f>
        <v>Situazione Proposta:</v>
      </c>
      <c r="B52" s="59" t="str">
        <f>Traduzioni!$G$227</f>
        <v>Copertura</v>
      </c>
      <c r="C52" s="59" t="str">
        <f>Traduzioni!$G$228</f>
        <v>Rischio Spese</v>
      </c>
    </row>
    <row r="53" spans="1:3" x14ac:dyDescent="0.35">
      <c r="A53" s="59" t="str">
        <f>A35</f>
        <v xml:space="preserve">Altro </v>
      </c>
      <c r="B53" s="97">
        <f>B35</f>
        <v>1</v>
      </c>
      <c r="C53" s="97">
        <f>C35</f>
        <v>0</v>
      </c>
    </row>
    <row r="54" spans="1:3" x14ac:dyDescent="0.35">
      <c r="A54" s="59" t="str">
        <f>A34</f>
        <v xml:space="preserve">Medicianli fuorilista </v>
      </c>
      <c r="B54" s="97">
        <f>B34</f>
        <v>1</v>
      </c>
      <c r="C54" s="97">
        <f>C34</f>
        <v>0</v>
      </c>
    </row>
    <row r="55" spans="1:3" x14ac:dyDescent="0.35">
      <c r="A55" s="59" t="str">
        <f>A33</f>
        <v xml:space="preserve">Medicina alternativa </v>
      </c>
      <c r="B55" s="97">
        <f>B33</f>
        <v>1</v>
      </c>
      <c r="C55" s="97">
        <f>C33</f>
        <v>0</v>
      </c>
    </row>
    <row r="56" spans="1:3" x14ac:dyDescent="0.35">
      <c r="A56" s="59" t="str">
        <f>A32</f>
        <v xml:space="preserve">Trasporto e salvataggio </v>
      </c>
      <c r="B56" s="97">
        <f>B32</f>
        <v>1</v>
      </c>
      <c r="C56" s="97">
        <f>C32</f>
        <v>0</v>
      </c>
    </row>
    <row r="57" spans="1:3" x14ac:dyDescent="0.35">
      <c r="A57" s="59" t="str">
        <f>A31</f>
        <v xml:space="preserve">Prevenzione ginecologica </v>
      </c>
      <c r="B57" s="97">
        <f>B31</f>
        <v>1</v>
      </c>
      <c r="C57" s="97">
        <f>C31</f>
        <v>0</v>
      </c>
    </row>
    <row r="58" spans="1:3" x14ac:dyDescent="0.35">
      <c r="A58" s="59" t="str">
        <f>A30</f>
        <v>Chec-kup</v>
      </c>
      <c r="B58" s="97">
        <f>B30</f>
        <v>1</v>
      </c>
      <c r="C58" s="97">
        <f>C30</f>
        <v>0</v>
      </c>
    </row>
    <row r="59" spans="1:3" x14ac:dyDescent="0.35">
      <c r="A59" s="59" t="str">
        <f>A29</f>
        <v xml:space="preserve">Assistenza domiciliare </v>
      </c>
      <c r="B59" s="97">
        <f>B29</f>
        <v>1</v>
      </c>
      <c r="C59" s="97">
        <f>C29</f>
        <v>0</v>
      </c>
    </row>
    <row r="60" spans="1:3" x14ac:dyDescent="0.35">
      <c r="A60" s="59" t="str">
        <f>A28</f>
        <v xml:space="preserve">Occhiali e Lenti a contatto </v>
      </c>
      <c r="B60" s="97">
        <f>B28</f>
        <v>1</v>
      </c>
      <c r="C60" s="97">
        <f>C28</f>
        <v>0</v>
      </c>
    </row>
    <row r="61" spans="1:3" x14ac:dyDescent="0.35">
      <c r="A61" s="59" t="str">
        <f>A27</f>
        <v>Fitness</v>
      </c>
      <c r="B61" s="97">
        <f>B27</f>
        <v>1</v>
      </c>
      <c r="C61" s="97">
        <f>C27</f>
        <v>0</v>
      </c>
    </row>
    <row r="62" spans="1:3" x14ac:dyDescent="0.35">
      <c r="A62" s="59" t="str">
        <f>A26</f>
        <v xml:space="preserve">Dentistista </v>
      </c>
      <c r="B62" s="97">
        <f>B26</f>
        <v>1</v>
      </c>
      <c r="C62" s="97">
        <f>C26</f>
        <v>0</v>
      </c>
    </row>
    <row r="63" spans="1:3" x14ac:dyDescent="0.35">
      <c r="A63" s="59" t="str">
        <f>A25</f>
        <v>Privata/semiprivata</v>
      </c>
      <c r="B63" s="97">
        <f>B25</f>
        <v>1</v>
      </c>
      <c r="C63" s="97">
        <f>C25</f>
        <v>0</v>
      </c>
    </row>
    <row r="64" spans="1:3" x14ac:dyDescent="0.35">
      <c r="A64" s="59" t="str">
        <f>A24</f>
        <v xml:space="preserve">Libera scelta medici e ospedali </v>
      </c>
      <c r="B64" s="97">
        <f>B24</f>
        <v>1</v>
      </c>
      <c r="C64" s="97">
        <f>C24</f>
        <v>0</v>
      </c>
    </row>
    <row r="65" spans="1:3" x14ac:dyDescent="0.35">
      <c r="A65" s="59" t="str">
        <f>A23</f>
        <v>Base (LAMAL)</v>
      </c>
      <c r="B65" s="97">
        <f>B23</f>
        <v>1</v>
      </c>
      <c r="C65" s="97">
        <f>C23</f>
        <v>0</v>
      </c>
    </row>
  </sheetData>
  <mergeCells count="4">
    <mergeCell ref="B1:C1"/>
    <mergeCell ref="B2:C2"/>
    <mergeCell ref="B3:C3"/>
    <mergeCell ref="B4:C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f971191-afd0-41f3-b59f-d0d3dfae5a0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58082DD62C3A44B6731EE8976419A3" ma:contentTypeVersion="15" ma:contentTypeDescription="Create a new document." ma:contentTypeScope="" ma:versionID="be4569f3bd2d05bc0a227614c7bb2bd0">
  <xsd:schema xmlns:xsd="http://www.w3.org/2001/XMLSchema" xmlns:xs="http://www.w3.org/2001/XMLSchema" xmlns:p="http://schemas.microsoft.com/office/2006/metadata/properties" xmlns:ns3="3f971191-afd0-41f3-b59f-d0d3dfae5a03" xmlns:ns4="e5cc1faf-47da-47b1-9b61-e8fa0d2603e2" targetNamespace="http://schemas.microsoft.com/office/2006/metadata/properties" ma:root="true" ma:fieldsID="a472ef39a2cb3a13039792055c186324" ns3:_="" ns4:_="">
    <xsd:import namespace="3f971191-afd0-41f3-b59f-d0d3dfae5a03"/>
    <xsd:import namespace="e5cc1faf-47da-47b1-9b61-e8fa0d2603e2"/>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System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971191-afd0-41f3-b59f-d0d3dfae5a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cc1faf-47da-47b1-9b61-e8fa0d2603e2"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97E125-8D46-4B97-8C13-D5726628CB22}">
  <ds:schemaRefs>
    <ds:schemaRef ds:uri="http://purl.org/dc/dcmitype/"/>
    <ds:schemaRef ds:uri="http://purl.org/dc/elements/1.1/"/>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3f971191-afd0-41f3-b59f-d0d3dfae5a03"/>
    <ds:schemaRef ds:uri="http://schemas.openxmlformats.org/package/2006/metadata/core-properties"/>
    <ds:schemaRef ds:uri="e5cc1faf-47da-47b1-9b61-e8fa0d2603e2"/>
    <ds:schemaRef ds:uri="http://purl.org/dc/terms/"/>
  </ds:schemaRefs>
</ds:datastoreItem>
</file>

<file path=customXml/itemProps2.xml><?xml version="1.0" encoding="utf-8"?>
<ds:datastoreItem xmlns:ds="http://schemas.openxmlformats.org/officeDocument/2006/customXml" ds:itemID="{C7C4B6C7-3DC8-42BC-AF70-FAD42594CB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971191-afd0-41f3-b59f-d0d3dfae5a03"/>
    <ds:schemaRef ds:uri="e5cc1faf-47da-47b1-9b61-e8fa0d2603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1DEEA3-BEFF-4367-B1A4-D7AA881AB8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57</vt:i4>
      </vt:variant>
    </vt:vector>
  </HeadingPairs>
  <TitlesOfParts>
    <vt:vector size="57" baseType="lpstr">
      <vt:lpstr>Dati per grafico</vt:lpstr>
      <vt:lpstr>Calcolo LPP partner</vt:lpstr>
      <vt:lpstr>Calcolo LPP Cliente</vt:lpstr>
      <vt:lpstr>scala44 partner</vt:lpstr>
      <vt:lpstr>scala44</vt:lpstr>
      <vt:lpstr>Calcolo simulazione LPP Partner</vt:lpstr>
      <vt:lpstr>Calcolo simulazione LPP Cliente</vt:lpstr>
      <vt:lpstr>Sigle per Analisi</vt:lpstr>
      <vt:lpstr>Dati per grafico Figlio 3</vt:lpstr>
      <vt:lpstr>Dati per grafico Figlio 2</vt:lpstr>
      <vt:lpstr>Dati per grafico Figlio 1</vt:lpstr>
      <vt:lpstr>Dati per grafico Partner</vt:lpstr>
      <vt:lpstr>Dati per grafico Capofamiglia</vt:lpstr>
      <vt:lpstr>Parametri generali</vt:lpstr>
      <vt:lpstr>KMU-Dati per grafico</vt:lpstr>
      <vt:lpstr>ANALYSIS</vt:lpstr>
      <vt:lpstr>PRIV-VALID.</vt:lpstr>
      <vt:lpstr>Dati Partner</vt:lpstr>
      <vt:lpstr>CM-Neo</vt:lpstr>
      <vt:lpstr>calcoli ClienteD</vt:lpstr>
      <vt:lpstr>calcoli Cliente</vt:lpstr>
      <vt:lpstr>Calcoli Partner</vt:lpstr>
      <vt:lpstr>CLI-PREV-1</vt:lpstr>
      <vt:lpstr>PAR-PREV-1</vt:lpstr>
      <vt:lpstr>CLI-PREV-2</vt:lpstr>
      <vt:lpstr>PAR-PREV-2</vt:lpstr>
      <vt:lpstr>T-K-M 1</vt:lpstr>
      <vt:lpstr>T-K-M 2</vt:lpstr>
      <vt:lpstr>ALT 1</vt:lpstr>
      <vt:lpstr>ALT 2</vt:lpstr>
      <vt:lpstr>RENDITE CLIENTE</vt:lpstr>
      <vt:lpstr>RENDITE PARTNER</vt:lpstr>
      <vt:lpstr>DECESSO CLIENTE</vt:lpstr>
      <vt:lpstr>DECESSO PARTNER</vt:lpstr>
      <vt:lpstr>PROFIL</vt:lpstr>
      <vt:lpstr>COMPARIS</vt:lpstr>
      <vt:lpstr>PENS.</vt:lpstr>
      <vt:lpstr>OPP3</vt:lpstr>
      <vt:lpstr>OPP3 PARTNER</vt:lpstr>
      <vt:lpstr>FUTURE-FINANZ.</vt:lpstr>
      <vt:lpstr>AFFITTO CON RISCATTO</vt:lpstr>
      <vt:lpstr>FIN-PREV</vt:lpstr>
      <vt:lpstr>FINANZ.</vt:lpstr>
      <vt:lpstr>FIGLI</vt:lpstr>
      <vt:lpstr>CM.TOT</vt:lpstr>
      <vt:lpstr>COSE-PATR</vt:lpstr>
      <vt:lpstr>KMU-DATA</vt:lpstr>
      <vt:lpstr>Traduzioni</vt:lpstr>
      <vt:lpstr>KMU-PROFIL</vt:lpstr>
      <vt:lpstr>Calcolo risparmio figli negli a</vt:lpstr>
      <vt:lpstr>KINDER</vt:lpstr>
      <vt:lpstr>BEDARF</vt:lpstr>
      <vt:lpstr>RENDITE KUNDE</vt:lpstr>
      <vt:lpstr>FINANZIABILITÀ INTEGRATA</vt:lpstr>
      <vt:lpstr>Sviluppo reddito</vt:lpstr>
      <vt:lpstr>Sviluppo risparmio</vt:lpstr>
      <vt:lpstr>Sviluppo oneri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gino baratella</dc:creator>
  <cp:lastModifiedBy>Gino Baratella</cp:lastModifiedBy>
  <cp:lastPrinted>2025-01-05T12:54:31Z</cp:lastPrinted>
  <dcterms:created xsi:type="dcterms:W3CDTF">2022-01-11T16:23:51Z</dcterms:created>
  <dcterms:modified xsi:type="dcterms:W3CDTF">2025-01-23T06:01:34Z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0x010100EA58082DD62C3A44B6731EE8976419A3</vt:lpwstr>
  </property>
</Properties>
</file>